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/>
  </bookViews>
  <sheets>
    <sheet name="5-6 дневная  неделя" sheetId="1" r:id="rId1"/>
    <sheet name="5-6 дневная с селом" sheetId="5" r:id="rId2"/>
  </sheets>
  <definedNames>
    <definedName name="_xlnm.Print_Titles" localSheetId="0">'5-6 дневная  неделя'!$A:$C,'5-6 дневная  неделя'!$5:$7</definedName>
    <definedName name="_xlnm.Print_Titles" localSheetId="1">'5-6 дневная с селом'!$A:$B,'5-6 дневная с селом'!$5:$7</definedName>
    <definedName name="_xlnm.Print_Area" localSheetId="0">'5-6 дневная  неделя'!$A$1:$L$52</definedName>
    <definedName name="_xlnm.Print_Area" localSheetId="1">'5-6 дневная с селом'!$A$1:$L$54</definedName>
  </definedNames>
  <calcPr calcId="145621"/>
</workbook>
</file>

<file path=xl/calcChain.xml><?xml version="1.0" encoding="utf-8"?>
<calcChain xmlns="http://schemas.openxmlformats.org/spreadsheetml/2006/main">
  <c r="D48" i="1" l="1"/>
  <c r="E48" i="1"/>
  <c r="F48" i="1"/>
  <c r="G48" i="1"/>
  <c r="H48" i="1"/>
  <c r="I48" i="1"/>
  <c r="J48" i="1"/>
  <c r="K48" i="1"/>
  <c r="L48" i="1"/>
  <c r="K50" i="1"/>
  <c r="L50" i="1"/>
  <c r="K52" i="1"/>
  <c r="L52" i="1"/>
  <c r="L54" i="5" l="1"/>
  <c r="K54" i="5"/>
  <c r="D50" i="5"/>
  <c r="E50" i="5"/>
  <c r="F50" i="5"/>
  <c r="G50" i="5"/>
  <c r="H50" i="5"/>
  <c r="I50" i="5"/>
  <c r="J50" i="5"/>
  <c r="K50" i="5"/>
  <c r="E33" i="5" l="1"/>
  <c r="F33" i="5"/>
  <c r="G33" i="5"/>
  <c r="H33" i="5"/>
  <c r="I33" i="5"/>
  <c r="J33" i="5"/>
  <c r="D33" i="5"/>
  <c r="E17" i="5"/>
  <c r="F17" i="5"/>
  <c r="G17" i="5"/>
  <c r="H17" i="5"/>
  <c r="I17" i="5"/>
  <c r="J17" i="5"/>
  <c r="D17" i="5"/>
  <c r="E31" i="1"/>
  <c r="F31" i="1"/>
  <c r="G31" i="1"/>
  <c r="H31" i="1"/>
  <c r="I31" i="1"/>
  <c r="J31" i="1"/>
  <c r="D31" i="1"/>
  <c r="E16" i="1"/>
  <c r="F16" i="1"/>
  <c r="G16" i="1"/>
  <c r="H16" i="1"/>
  <c r="I16" i="1"/>
  <c r="J16" i="1"/>
  <c r="D16" i="1"/>
  <c r="E35" i="5" l="1"/>
  <c r="F35" i="5"/>
  <c r="G35" i="5"/>
  <c r="H35" i="5"/>
  <c r="I35" i="5"/>
  <c r="J35" i="5"/>
  <c r="E36" i="5"/>
  <c r="F36" i="5"/>
  <c r="F37" i="5" s="1"/>
  <c r="G36" i="5"/>
  <c r="H36" i="5"/>
  <c r="H37" i="5" s="1"/>
  <c r="I36" i="5"/>
  <c r="J36" i="5"/>
  <c r="E37" i="5"/>
  <c r="E39" i="5" s="1"/>
  <c r="J37" i="5"/>
  <c r="D36" i="5"/>
  <c r="D35" i="5"/>
  <c r="D37" i="5" s="1"/>
  <c r="K34" i="5"/>
  <c r="L34" i="5"/>
  <c r="E28" i="5"/>
  <c r="F28" i="5"/>
  <c r="G28" i="5"/>
  <c r="H28" i="5"/>
  <c r="I28" i="5"/>
  <c r="J28" i="5"/>
  <c r="D28" i="5"/>
  <c r="E19" i="5"/>
  <c r="F19" i="5"/>
  <c r="G19" i="5"/>
  <c r="H19" i="5"/>
  <c r="I19" i="5"/>
  <c r="J19" i="5"/>
  <c r="E20" i="5"/>
  <c r="F20" i="5"/>
  <c r="G20" i="5"/>
  <c r="H20" i="5"/>
  <c r="I20" i="5"/>
  <c r="J20" i="5"/>
  <c r="E21" i="5"/>
  <c r="E23" i="5" s="1"/>
  <c r="F21" i="5"/>
  <c r="G21" i="5"/>
  <c r="G23" i="5" s="1"/>
  <c r="H21" i="5"/>
  <c r="I21" i="5"/>
  <c r="I23" i="5" s="1"/>
  <c r="J21" i="5"/>
  <c r="D20" i="5"/>
  <c r="D19" i="5"/>
  <c r="K18" i="5"/>
  <c r="L18" i="5"/>
  <c r="E11" i="5"/>
  <c r="F11" i="5"/>
  <c r="G11" i="5"/>
  <c r="H11" i="5"/>
  <c r="I11" i="5"/>
  <c r="J11" i="5"/>
  <c r="D11" i="5"/>
  <c r="J39" i="5" l="1"/>
  <c r="I37" i="5"/>
  <c r="G37" i="5"/>
  <c r="J23" i="5"/>
  <c r="H23" i="5"/>
  <c r="F23" i="5"/>
  <c r="I39" i="5"/>
  <c r="H39" i="5"/>
  <c r="G39" i="5"/>
  <c r="F39" i="5"/>
  <c r="D39" i="5"/>
  <c r="D21" i="5"/>
  <c r="D23" i="5" s="1"/>
  <c r="H31" i="5"/>
  <c r="J27" i="5"/>
  <c r="I27" i="5"/>
  <c r="H27" i="5"/>
  <c r="G27" i="5"/>
  <c r="F27" i="5"/>
  <c r="E27" i="5"/>
  <c r="D27" i="5"/>
  <c r="L27" i="5" s="1"/>
  <c r="L26" i="5"/>
  <c r="K26" i="5"/>
  <c r="J31" i="5" l="1"/>
  <c r="F31" i="5"/>
  <c r="I31" i="5"/>
  <c r="G31" i="5"/>
  <c r="E31" i="5"/>
  <c r="F29" i="5"/>
  <c r="F30" i="5" s="1"/>
  <c r="H29" i="5"/>
  <c r="H30" i="5" s="1"/>
  <c r="J29" i="5"/>
  <c r="J30" i="5" s="1"/>
  <c r="E29" i="5"/>
  <c r="G29" i="5"/>
  <c r="I29" i="5"/>
  <c r="K27" i="5"/>
  <c r="E26" i="1"/>
  <c r="E27" i="1" s="1"/>
  <c r="F26" i="1"/>
  <c r="F27" i="1" s="1"/>
  <c r="G26" i="1"/>
  <c r="G27" i="1" s="1"/>
  <c r="H26" i="1"/>
  <c r="H27" i="1" s="1"/>
  <c r="I26" i="1"/>
  <c r="I27" i="1" s="1"/>
  <c r="J26" i="1"/>
  <c r="J27" i="1" s="1"/>
  <c r="D26" i="1"/>
  <c r="L25" i="1"/>
  <c r="K25" i="1"/>
  <c r="E10" i="5"/>
  <c r="F10" i="5"/>
  <c r="G10" i="5"/>
  <c r="H10" i="5"/>
  <c r="I10" i="5"/>
  <c r="J10" i="5"/>
  <c r="D10" i="5"/>
  <c r="E10" i="1"/>
  <c r="E11" i="1" s="1"/>
  <c r="F10" i="1"/>
  <c r="F11" i="1" s="1"/>
  <c r="G10" i="1"/>
  <c r="G11" i="1" s="1"/>
  <c r="H10" i="1"/>
  <c r="H11" i="1" s="1"/>
  <c r="I10" i="1"/>
  <c r="I11" i="1" s="1"/>
  <c r="J10" i="1"/>
  <c r="J11" i="1" s="1"/>
  <c r="D10" i="1"/>
  <c r="D11" i="1" s="1"/>
  <c r="L9" i="5"/>
  <c r="K9" i="5"/>
  <c r="K26" i="1" l="1"/>
  <c r="D27" i="1"/>
  <c r="D31" i="5"/>
  <c r="I32" i="5"/>
  <c r="G32" i="5"/>
  <c r="E32" i="5"/>
  <c r="I30" i="5"/>
  <c r="G30" i="5"/>
  <c r="E30" i="5"/>
  <c r="H32" i="5"/>
  <c r="F32" i="5"/>
  <c r="J32" i="5"/>
  <c r="D29" i="5"/>
  <c r="K28" i="5"/>
  <c r="D30" i="5"/>
  <c r="L28" i="5"/>
  <c r="G28" i="1"/>
  <c r="G29" i="1" s="1"/>
  <c r="E28" i="1"/>
  <c r="E30" i="1"/>
  <c r="I28" i="1"/>
  <c r="I33" i="1" s="1"/>
  <c r="I29" i="1"/>
  <c r="I30" i="1"/>
  <c r="J28" i="1"/>
  <c r="J29" i="1" s="1"/>
  <c r="H28" i="1"/>
  <c r="H29" i="1" s="1"/>
  <c r="F28" i="1"/>
  <c r="F30" i="1" s="1"/>
  <c r="L26" i="1"/>
  <c r="K9" i="1"/>
  <c r="L9" i="1"/>
  <c r="H40" i="5" l="1"/>
  <c r="I34" i="1"/>
  <c r="K17" i="1"/>
  <c r="L17" i="1"/>
  <c r="J40" i="5"/>
  <c r="E40" i="5"/>
  <c r="K31" i="5"/>
  <c r="L31" i="5"/>
  <c r="D32" i="5"/>
  <c r="K33" i="5"/>
  <c r="L33" i="5"/>
  <c r="H30" i="1"/>
  <c r="H33" i="1" s="1"/>
  <c r="J30" i="1"/>
  <c r="J34" i="1" s="1"/>
  <c r="E29" i="1"/>
  <c r="E33" i="1" s="1"/>
  <c r="G30" i="1"/>
  <c r="G33" i="1" s="1"/>
  <c r="K30" i="5"/>
  <c r="L30" i="5"/>
  <c r="L29" i="5"/>
  <c r="K29" i="5"/>
  <c r="F29" i="1"/>
  <c r="F34" i="1" s="1"/>
  <c r="K27" i="1"/>
  <c r="D28" i="1"/>
  <c r="K28" i="1" s="1"/>
  <c r="L27" i="1"/>
  <c r="L10" i="5"/>
  <c r="K10" i="5"/>
  <c r="I35" i="1" l="1"/>
  <c r="I37" i="1" s="1"/>
  <c r="I38" i="1" s="1"/>
  <c r="J33" i="1"/>
  <c r="J35" i="1" s="1"/>
  <c r="J37" i="1" s="1"/>
  <c r="H34" i="1"/>
  <c r="H35" i="1" s="1"/>
  <c r="H37" i="1" s="1"/>
  <c r="F33" i="1"/>
  <c r="K32" i="1"/>
  <c r="L32" i="1"/>
  <c r="L28" i="1"/>
  <c r="G34" i="1"/>
  <c r="F35" i="1"/>
  <c r="F37" i="1" s="1"/>
  <c r="F38" i="1" s="1"/>
  <c r="E34" i="1"/>
  <c r="L32" i="5"/>
  <c r="K32" i="5"/>
  <c r="I40" i="5"/>
  <c r="G40" i="5"/>
  <c r="F40" i="5"/>
  <c r="F15" i="5"/>
  <c r="H15" i="5"/>
  <c r="J15" i="5"/>
  <c r="L31" i="1"/>
  <c r="K31" i="1"/>
  <c r="D29" i="1"/>
  <c r="D33" i="1" s="1"/>
  <c r="D30" i="1"/>
  <c r="F12" i="5"/>
  <c r="F16" i="5" s="1"/>
  <c r="J12" i="5"/>
  <c r="J16" i="5" s="1"/>
  <c r="H12" i="5"/>
  <c r="H16" i="5" s="1"/>
  <c r="E15" i="5"/>
  <c r="I15" i="5"/>
  <c r="G15" i="5"/>
  <c r="H14" i="5"/>
  <c r="F14" i="5"/>
  <c r="J14" i="5"/>
  <c r="D12" i="5"/>
  <c r="D16" i="5" s="1"/>
  <c r="D15" i="5"/>
  <c r="K11" i="5"/>
  <c r="L11" i="5"/>
  <c r="E12" i="5"/>
  <c r="E16" i="5" s="1"/>
  <c r="G12" i="5"/>
  <c r="G16" i="5" s="1"/>
  <c r="I12" i="5"/>
  <c r="I16" i="5" s="1"/>
  <c r="L10" i="1"/>
  <c r="K10" i="1"/>
  <c r="E35" i="1" l="1"/>
  <c r="E37" i="1" s="1"/>
  <c r="E38" i="1" s="1"/>
  <c r="D34" i="1"/>
  <c r="D35" i="1" s="1"/>
  <c r="G35" i="1"/>
  <c r="G37" i="1" s="1"/>
  <c r="G38" i="1" s="1"/>
  <c r="L37" i="5"/>
  <c r="K37" i="5"/>
  <c r="I13" i="5"/>
  <c r="E13" i="5"/>
  <c r="L35" i="5"/>
  <c r="K35" i="5"/>
  <c r="H13" i="5"/>
  <c r="K36" i="5"/>
  <c r="L36" i="5"/>
  <c r="G13" i="5"/>
  <c r="F13" i="5"/>
  <c r="J13" i="5"/>
  <c r="D13" i="5"/>
  <c r="L33" i="1"/>
  <c r="H38" i="1"/>
  <c r="J38" i="1"/>
  <c r="J12" i="1"/>
  <c r="H12" i="1"/>
  <c r="F12" i="1"/>
  <c r="K29" i="1"/>
  <c r="L29" i="1"/>
  <c r="D12" i="1"/>
  <c r="I12" i="1"/>
  <c r="G12" i="1"/>
  <c r="K30" i="1"/>
  <c r="L30" i="1"/>
  <c r="E14" i="5"/>
  <c r="K12" i="5"/>
  <c r="I14" i="5"/>
  <c r="G14" i="5"/>
  <c r="K15" i="5"/>
  <c r="L15" i="5"/>
  <c r="L12" i="5"/>
  <c r="D14" i="5"/>
  <c r="L17" i="5"/>
  <c r="K17" i="5"/>
  <c r="L16" i="1"/>
  <c r="D13" i="1"/>
  <c r="K11" i="1"/>
  <c r="L12" i="1"/>
  <c r="G13" i="1"/>
  <c r="E12" i="1"/>
  <c r="L11" i="1"/>
  <c r="J13" i="1"/>
  <c r="H13" i="1"/>
  <c r="F13" i="1"/>
  <c r="L34" i="1" l="1"/>
  <c r="I14" i="1"/>
  <c r="F15" i="1"/>
  <c r="F19" i="1" s="1"/>
  <c r="J15" i="1"/>
  <c r="G15" i="1"/>
  <c r="G18" i="1" s="1"/>
  <c r="D15" i="1"/>
  <c r="H15" i="1"/>
  <c r="H18" i="1" s="1"/>
  <c r="D37" i="1"/>
  <c r="K12" i="1"/>
  <c r="I13" i="1"/>
  <c r="I15" i="1"/>
  <c r="K13" i="5"/>
  <c r="L13" i="5"/>
  <c r="L39" i="5"/>
  <c r="K39" i="5"/>
  <c r="D40" i="5"/>
  <c r="D14" i="1"/>
  <c r="D18" i="1" s="1"/>
  <c r="K34" i="1"/>
  <c r="F14" i="1"/>
  <c r="H14" i="1"/>
  <c r="J14" i="1"/>
  <c r="J19" i="1" s="1"/>
  <c r="E14" i="1"/>
  <c r="G14" i="1"/>
  <c r="K33" i="1"/>
  <c r="L35" i="1"/>
  <c r="K35" i="1"/>
  <c r="K37" i="1" s="1"/>
  <c r="K38" i="1" s="1"/>
  <c r="E15" i="1"/>
  <c r="K14" i="5"/>
  <c r="L14" i="5"/>
  <c r="K16" i="1"/>
  <c r="L16" i="5"/>
  <c r="L13" i="1"/>
  <c r="E13" i="1"/>
  <c r="K13" i="1" s="1"/>
  <c r="D19" i="1" l="1"/>
  <c r="D20" i="1" s="1"/>
  <c r="E18" i="1"/>
  <c r="E19" i="1"/>
  <c r="J18" i="1"/>
  <c r="I18" i="1"/>
  <c r="I19" i="1"/>
  <c r="H19" i="1"/>
  <c r="H20" i="1" s="1"/>
  <c r="G19" i="1"/>
  <c r="G20" i="1" s="1"/>
  <c r="E20" i="1"/>
  <c r="E22" i="1" s="1"/>
  <c r="F18" i="1"/>
  <c r="I20" i="1"/>
  <c r="K14" i="1"/>
  <c r="L14" i="1"/>
  <c r="K18" i="1"/>
  <c r="L40" i="5"/>
  <c r="K40" i="5"/>
  <c r="K20" i="5"/>
  <c r="L19" i="5"/>
  <c r="F24" i="5"/>
  <c r="F46" i="5" s="1"/>
  <c r="E24" i="5"/>
  <c r="E46" i="5" s="1"/>
  <c r="G24" i="5"/>
  <c r="G46" i="5" s="1"/>
  <c r="H24" i="5"/>
  <c r="H46" i="5" s="1"/>
  <c r="K16" i="5"/>
  <c r="K15" i="1"/>
  <c r="L15" i="1"/>
  <c r="I22" i="1" l="1"/>
  <c r="I23" i="1" s="1"/>
  <c r="I44" i="1" s="1"/>
  <c r="L19" i="1"/>
  <c r="F20" i="1"/>
  <c r="F22" i="1" s="1"/>
  <c r="F23" i="1" s="1"/>
  <c r="F44" i="1" s="1"/>
  <c r="D22" i="1"/>
  <c r="G22" i="1"/>
  <c r="G23" i="1" s="1"/>
  <c r="G44" i="1" s="1"/>
  <c r="H22" i="1"/>
  <c r="H23" i="1" s="1"/>
  <c r="H44" i="1" s="1"/>
  <c r="J20" i="1"/>
  <c r="J22" i="1" s="1"/>
  <c r="J23" i="1" s="1"/>
  <c r="J44" i="1" s="1"/>
  <c r="E23" i="1"/>
  <c r="E44" i="1" s="1"/>
  <c r="J24" i="5"/>
  <c r="J46" i="5" s="1"/>
  <c r="H42" i="5"/>
  <c r="H44" i="5"/>
  <c r="E42" i="5"/>
  <c r="E44" i="5"/>
  <c r="G42" i="5"/>
  <c r="G44" i="5"/>
  <c r="F42" i="5"/>
  <c r="F44" i="5"/>
  <c r="L37" i="1"/>
  <c r="D38" i="1"/>
  <c r="L38" i="1" s="1"/>
  <c r="K19" i="5"/>
  <c r="L20" i="5"/>
  <c r="L18" i="1"/>
  <c r="I24" i="5"/>
  <c r="I46" i="5" s="1"/>
  <c r="K21" i="5"/>
  <c r="E48" i="5"/>
  <c r="H48" i="5"/>
  <c r="G48" i="5"/>
  <c r="K19" i="1"/>
  <c r="I42" i="1" l="1"/>
  <c r="I40" i="1"/>
  <c r="H42" i="1"/>
  <c r="H40" i="1"/>
  <c r="H46" i="1" s="1"/>
  <c r="F48" i="5"/>
  <c r="F42" i="1"/>
  <c r="F40" i="1"/>
  <c r="J44" i="5"/>
  <c r="J42" i="5"/>
  <c r="I42" i="5"/>
  <c r="I44" i="5"/>
  <c r="L21" i="5"/>
  <c r="J42" i="1"/>
  <c r="J40" i="1"/>
  <c r="J46" i="1" s="1"/>
  <c r="E40" i="1"/>
  <c r="E42" i="1"/>
  <c r="G40" i="1"/>
  <c r="G42" i="1"/>
  <c r="F46" i="1"/>
  <c r="I46" i="1"/>
  <c r="L20" i="1"/>
  <c r="K20" i="1"/>
  <c r="K22" i="1"/>
  <c r="L22" i="1"/>
  <c r="D23" i="1"/>
  <c r="D44" i="1" s="1"/>
  <c r="J48" i="5" l="1"/>
  <c r="I48" i="5"/>
  <c r="D42" i="1"/>
  <c r="D40" i="1"/>
  <c r="G46" i="1"/>
  <c r="E46" i="1"/>
  <c r="L23" i="5"/>
  <c r="K23" i="5"/>
  <c r="D24" i="5"/>
  <c r="D46" i="5" s="1"/>
  <c r="L23" i="1"/>
  <c r="K23" i="1"/>
  <c r="D42" i="5" l="1"/>
  <c r="D44" i="5"/>
  <c r="D48" i="5" s="1"/>
  <c r="D46" i="1"/>
  <c r="K24" i="5"/>
  <c r="L24" i="5"/>
  <c r="K44" i="1"/>
  <c r="L44" i="1"/>
  <c r="L42" i="1"/>
  <c r="K42" i="1"/>
  <c r="L40" i="1"/>
  <c r="K40" i="1"/>
  <c r="L44" i="5" l="1"/>
  <c r="K44" i="5"/>
  <c r="K46" i="5"/>
  <c r="L46" i="5"/>
  <c r="K42" i="5"/>
  <c r="L42" i="5"/>
  <c r="K46" i="1"/>
  <c r="L46" i="1"/>
  <c r="K48" i="5" l="1"/>
  <c r="L48" i="5"/>
  <c r="L50" i="5" l="1"/>
</calcChain>
</file>

<file path=xl/sharedStrings.xml><?xml version="1.0" encoding="utf-8"?>
<sst xmlns="http://schemas.openxmlformats.org/spreadsheetml/2006/main" count="198" uniqueCount="52">
  <si>
    <t>1 класс</t>
  </si>
  <si>
    <t>2 класс</t>
  </si>
  <si>
    <t>3 класс</t>
  </si>
  <si>
    <t>4 класс</t>
  </si>
  <si>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</si>
  <si>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</si>
  <si>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</si>
  <si>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</si>
  <si>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</si>
  <si>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</si>
  <si>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5-дневная учебная неделя</t>
  </si>
  <si>
    <t>6-дневная учебная неделя</t>
  </si>
  <si>
    <t>руб.</t>
  </si>
  <si>
    <t>Затраты на оплату труда учителей</t>
  </si>
  <si>
    <t>Значения показателей</t>
  </si>
  <si>
    <t>Доплаты за работу, не входящую в круг основных должностных обязанностей</t>
  </si>
  <si>
    <t>Премиальный фонд</t>
  </si>
  <si>
    <t>Фонд материальной помощи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</si>
  <si>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</si>
  <si>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</si>
  <si>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</si>
  <si>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</si>
  <si>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</si>
  <si>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</si>
  <si>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</si>
  <si>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</si>
  <si>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час</t>
  </si>
  <si>
    <t>Предельно допустимая недельная нагрузка</t>
  </si>
  <si>
    <t>Количество ставок учителей на предельно допустимую недельную нагрузку</t>
  </si>
  <si>
    <t>Дополнительно на ФГОС</t>
  </si>
  <si>
    <t>Количество ставок ПДО на максимально допустимую недельную нагрузку</t>
  </si>
  <si>
    <t>Итого затраты на оплату труда ПДО:</t>
  </si>
  <si>
    <t>Размер заработной платы в соответствии со ставкой заработной платы</t>
  </si>
  <si>
    <t>Надбавка за интенсивность и высокие результаты работы (20,0 % от ФЗП по ставкам заработной платы)</t>
  </si>
  <si>
    <t>Надбавка за качество работы (20,0 % от ФЗП по ставкам заработной платы)</t>
  </si>
  <si>
    <t>Доплаты за особые условия работы (20% от ставки заработной платы с доплатой за квалификацию)</t>
  </si>
  <si>
    <t>Общеобразовательные организации в городских поселениях-при реализация адаптированных образовательных программ</t>
  </si>
  <si>
    <t>Расчетная наполняемость классов, чел.</t>
  </si>
  <si>
    <t>Норматив на 1-го обучающегося в год, руб.</t>
  </si>
  <si>
    <t>Базовый норматив на затраты на оплату труда, непосредственно связанные с оказанием муниципальной услуги, руб.</t>
  </si>
  <si>
    <t>Отраслевые  корректирующие коэффициенты затрат на оплату труда, непосредственно связанных с оказанием муниципальной услуг, учитывающие режим работы общеобразовательных организаций и специфику работы</t>
  </si>
  <si>
    <t>Базовый норматив на приобретение материальных запасов и иные затраты, непосредственно связанные с оказанием муниципальной услуги, руб.</t>
  </si>
  <si>
    <t>Базовый норматив на затраты, непосредственно связанные с оказанием муниципальной услуги, руб.</t>
  </si>
  <si>
    <t>Общеобразовательные организации в сельских поселениях-при реализация адаптированных образовательных программ</t>
  </si>
  <si>
    <t>Надбавка за квалификацию (максимально - 30% от ФЗП по ставкам заработной платы)</t>
  </si>
  <si>
    <t>Надбавки за выслугу лет (максимально -30% от ФЗП по ставкам заработной платы с надбавкой за квалификацию)</t>
  </si>
  <si>
    <t>Надбавки за работу в сельской местности (25% от ФЗП по ставкам заработной платы)</t>
  </si>
  <si>
    <t>5,1 % от ФОТ учителей</t>
  </si>
  <si>
    <t>2,2 % от ФОТ учителей  (добавить К=8489/7500=1,13; 2,2*1,13=2,5%)</t>
  </si>
  <si>
    <t>6,9 % от ФОТ учителей</t>
  </si>
  <si>
    <t>Приложение №44</t>
  </si>
  <si>
    <t>96596,9 тыс. руб./548 классов-комплектов/25 обучающихся=7051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</si>
</sst>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" fontId="1" fillId="2" borderId="1" xfId="0" applyNumberFormat="1" applyFont="1" applyFill="1" applyBorder="1" applyAlignment="1">
      <alignment horizontal="center" wrapText="1"/>
    </xf>
    <xf numFmtId="0" fontId="1" fillId="2" borderId="0" xfId="0" applyFont="1" applyFill="1"/>
    <xf numFmtId="0" fontId="5" fillId="2" borderId="0" xfId="0" applyFont="1" applyFill="1"/>
    <xf numFmtId="0" fontId="1" fillId="2" borderId="1" xfId="0" applyFont="1" applyFill="1" applyBorder="1"/>
    <xf numFmtId="3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wrapText="1"/>
    </xf>
    <xf numFmtId="49" fontId="2" fillId="2" borderId="2" xfId="0" applyNumberFormat="1" applyFont="1" applyFill="1" applyBorder="1" applyAlignment="1">
      <alignment vertical="center" wrapText="1"/>
    </xf>
    <xf numFmtId="49" fontId="4" fillId="2" borderId="7" xfId="0" applyNumberFormat="1" applyFont="1" applyFill="1" applyBorder="1" applyAlignment="1">
      <alignment vertical="center" wrapText="1"/>
    </xf>
    <xf numFmtId="49" fontId="4" fillId="2" borderId="3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wrapText="1"/>
    </xf>
    <xf numFmtId="4" fontId="1" fillId="2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left" vertical="center" wrapText="1"/>
    </xf>
    <xf numFmtId="164" fontId="6" fillId="2" borderId="7" xfId="0" applyNumberFormat="1" applyFont="1" applyFill="1" applyBorder="1" applyAlignment="1">
      <alignment horizontal="left" vertical="center" wrapText="1"/>
    </xf>
    <xf numFmtId="4" fontId="1" fillId="2" borderId="2" xfId="0" applyNumberFormat="1" applyFont="1" applyFill="1" applyBorder="1" applyAlignment="1">
      <alignment horizontal="center"/>
    </xf>
    <xf numFmtId="4" fontId="1" fillId="2" borderId="7" xfId="0" applyNumberFormat="1" applyFont="1" applyFill="1" applyBorder="1" applyAlignment="1">
      <alignment horizontal="center"/>
    </xf>
    <xf numFmtId="4" fontId="1" fillId="2" borderId="3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right"/>
    </xf>
    <xf numFmtId="0" fontId="5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2"/>
  <sheetViews>
    <sheetView tabSelected="1" view="pageBreakPreview" zoomScale="77" zoomScaleNormal="90" zoomScaleSheetLayoutView="77" workbookViewId="0">
      <pane xSplit="3" ySplit="7" topLeftCell="D42" activePane="bottomRight" state="frozen"/>
      <selection pane="topRight" activeCell="D1" sqref="D1"/>
      <selection pane="bottomLeft" activeCell="A5" sqref="A5"/>
      <selection pane="bottomRight" activeCell="B43" sqref="B43:C43"/>
    </sheetView>
  </sheetViews>
  <sheetFormatPr defaultRowHeight="15" x14ac:dyDescent="0.25"/>
  <cols>
    <col min="1" max="1" width="7.140625" style="2" customWidth="1"/>
    <col min="2" max="2" width="41.42578125" style="2" customWidth="1"/>
    <col min="3" max="3" width="13.7109375" style="2" customWidth="1"/>
    <col min="4" max="4" width="12.28515625" style="2" customWidth="1"/>
    <col min="5" max="5" width="12.140625" style="2" customWidth="1"/>
    <col min="6" max="6" width="13.42578125" style="2" customWidth="1"/>
    <col min="7" max="7" width="12.7109375" style="2" customWidth="1"/>
    <col min="8" max="8" width="12.5703125" style="2" customWidth="1"/>
    <col min="9" max="9" width="13" style="2" customWidth="1"/>
    <col min="10" max="10" width="11.7109375" style="2" customWidth="1"/>
    <col min="11" max="11" width="13.140625" style="2" customWidth="1"/>
    <col min="12" max="12" width="14.42578125" style="2" customWidth="1"/>
    <col min="13" max="16384" width="9.140625" style="2"/>
  </cols>
  <sheetData>
    <row r="2" spans="1:12" s="3" customFormat="1" ht="18.75" x14ac:dyDescent="0.3">
      <c r="K2" s="42" t="s">
        <v>50</v>
      </c>
      <c r="L2" s="42"/>
    </row>
    <row r="3" spans="1:12" s="3" customFormat="1" ht="18.75" x14ac:dyDescent="0.3">
      <c r="A3" s="43" t="s">
        <v>36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5" spans="1:12" ht="15" customHeight="1" x14ac:dyDescent="0.25">
      <c r="A5" s="44" t="s">
        <v>5</v>
      </c>
      <c r="B5" s="36" t="s">
        <v>6</v>
      </c>
      <c r="C5" s="36" t="s">
        <v>7</v>
      </c>
      <c r="D5" s="35" t="s">
        <v>14</v>
      </c>
      <c r="E5" s="35"/>
      <c r="F5" s="35"/>
      <c r="G5" s="35"/>
      <c r="H5" s="35"/>
      <c r="I5" s="35"/>
      <c r="J5" s="35"/>
      <c r="K5" s="35"/>
      <c r="L5" s="35"/>
    </row>
    <row r="6" spans="1:12" ht="15" customHeight="1" x14ac:dyDescent="0.25">
      <c r="A6" s="45"/>
      <c r="B6" s="36"/>
      <c r="C6" s="36"/>
      <c r="D6" s="8" t="s">
        <v>0</v>
      </c>
      <c r="E6" s="49" t="s">
        <v>1</v>
      </c>
      <c r="F6" s="50"/>
      <c r="G6" s="49" t="s">
        <v>2</v>
      </c>
      <c r="H6" s="50"/>
      <c r="I6" s="49" t="s">
        <v>3</v>
      </c>
      <c r="J6" s="50"/>
      <c r="K6" s="35" t="s">
        <v>4</v>
      </c>
      <c r="L6" s="35"/>
    </row>
    <row r="7" spans="1:12" ht="45" x14ac:dyDescent="0.25">
      <c r="A7" s="46"/>
      <c r="B7" s="36"/>
      <c r="C7" s="36"/>
      <c r="D7" s="9" t="s">
        <v>10</v>
      </c>
      <c r="E7" s="9" t="s">
        <v>10</v>
      </c>
      <c r="F7" s="9" t="s">
        <v>11</v>
      </c>
      <c r="G7" s="9" t="s">
        <v>10</v>
      </c>
      <c r="H7" s="9" t="s">
        <v>11</v>
      </c>
      <c r="I7" s="9" t="s">
        <v>10</v>
      </c>
      <c r="J7" s="9" t="s">
        <v>11</v>
      </c>
      <c r="K7" s="9" t="s">
        <v>10</v>
      </c>
      <c r="L7" s="9" t="s">
        <v>11</v>
      </c>
    </row>
    <row r="8" spans="1:12" ht="30" customHeight="1" x14ac:dyDescent="0.25">
      <c r="A8" s="10"/>
      <c r="B8" s="47" t="s">
        <v>13</v>
      </c>
      <c r="C8" s="48"/>
      <c r="D8" s="11"/>
      <c r="E8" s="11"/>
      <c r="F8" s="11"/>
      <c r="G8" s="11"/>
      <c r="H8" s="11"/>
      <c r="I8" s="11"/>
      <c r="J8" s="11"/>
      <c r="K8" s="12"/>
      <c r="L8" s="13"/>
    </row>
    <row r="9" spans="1:12" ht="43.5" customHeight="1" x14ac:dyDescent="0.25">
      <c r="A9" s="10">
        <v>1</v>
      </c>
      <c r="B9" s="14" t="s">
        <v>27</v>
      </c>
      <c r="C9" s="15" t="s">
        <v>26</v>
      </c>
      <c r="D9" s="16">
        <v>21</v>
      </c>
      <c r="E9" s="17">
        <v>23</v>
      </c>
      <c r="F9" s="17">
        <v>26</v>
      </c>
      <c r="G9" s="17">
        <v>23</v>
      </c>
      <c r="H9" s="17">
        <v>26</v>
      </c>
      <c r="I9" s="17">
        <v>23</v>
      </c>
      <c r="J9" s="17">
        <v>26</v>
      </c>
      <c r="K9" s="18">
        <f t="shared" ref="K9" si="0">D9+E9+G9+I9</f>
        <v>90</v>
      </c>
      <c r="L9" s="18">
        <f t="shared" ref="L9" si="1">D9+F9+H9+J9</f>
        <v>99</v>
      </c>
    </row>
    <row r="10" spans="1:12" ht="36.75" customHeight="1" x14ac:dyDescent="0.25">
      <c r="A10" s="18">
        <v>2</v>
      </c>
      <c r="B10" s="19" t="s">
        <v>9</v>
      </c>
      <c r="C10" s="18" t="s">
        <v>8</v>
      </c>
      <c r="D10" s="18">
        <f>ROUND(D9/18,2)</f>
        <v>1.17</v>
      </c>
      <c r="E10" s="18">
        <f t="shared" ref="E10:J10" si="2">ROUND(E9/18,2)</f>
        <v>1.28</v>
      </c>
      <c r="F10" s="18">
        <f t="shared" si="2"/>
        <v>1.44</v>
      </c>
      <c r="G10" s="18">
        <f t="shared" si="2"/>
        <v>1.28</v>
      </c>
      <c r="H10" s="18">
        <f t="shared" si="2"/>
        <v>1.44</v>
      </c>
      <c r="I10" s="18">
        <f t="shared" si="2"/>
        <v>1.28</v>
      </c>
      <c r="J10" s="18">
        <f t="shared" si="2"/>
        <v>1.44</v>
      </c>
      <c r="K10" s="18">
        <f t="shared" ref="K10:K16" si="3">D10+E10+G10+I10</f>
        <v>5.0100000000000007</v>
      </c>
      <c r="L10" s="18">
        <f t="shared" ref="L10:L16" si="4">D10+F10+H10+J10</f>
        <v>5.49</v>
      </c>
    </row>
    <row r="11" spans="1:12" ht="30" x14ac:dyDescent="0.25">
      <c r="A11" s="18">
        <v>3</v>
      </c>
      <c r="B11" s="19" t="s">
        <v>32</v>
      </c>
      <c r="C11" s="18" t="s">
        <v>12</v>
      </c>
      <c r="D11" s="6">
        <f>ROUND(8621*D10,2)</f>
        <v>10086.57</v>
      </c>
      <c r="E11" s="6">
        <f t="shared" ref="E11:J11" si="5">ROUND(8621*E10,2)</f>
        <v>11034.88</v>
      </c>
      <c r="F11" s="6">
        <f t="shared" si="5"/>
        <v>12414.24</v>
      </c>
      <c r="G11" s="6">
        <f t="shared" si="5"/>
        <v>11034.88</v>
      </c>
      <c r="H11" s="6">
        <f t="shared" si="5"/>
        <v>12414.24</v>
      </c>
      <c r="I11" s="6">
        <f t="shared" si="5"/>
        <v>11034.88</v>
      </c>
      <c r="J11" s="6">
        <f t="shared" si="5"/>
        <v>12414.24</v>
      </c>
      <c r="K11" s="6">
        <f t="shared" si="3"/>
        <v>43191.209999999992</v>
      </c>
      <c r="L11" s="6">
        <f t="shared" si="4"/>
        <v>47329.289999999994</v>
      </c>
    </row>
    <row r="12" spans="1:12" ht="30" x14ac:dyDescent="0.25">
      <c r="A12" s="18">
        <v>4</v>
      </c>
      <c r="B12" s="19" t="s">
        <v>44</v>
      </c>
      <c r="C12" s="18" t="s">
        <v>12</v>
      </c>
      <c r="D12" s="6">
        <f>ROUND(D11*0.3,2)</f>
        <v>3025.97</v>
      </c>
      <c r="E12" s="6">
        <f t="shared" ref="E12:J12" si="6">ROUND(E11*0.3,2)</f>
        <v>3310.46</v>
      </c>
      <c r="F12" s="6">
        <f t="shared" si="6"/>
        <v>3724.27</v>
      </c>
      <c r="G12" s="6">
        <f t="shared" si="6"/>
        <v>3310.46</v>
      </c>
      <c r="H12" s="6">
        <f t="shared" si="6"/>
        <v>3724.27</v>
      </c>
      <c r="I12" s="6">
        <f t="shared" si="6"/>
        <v>3310.46</v>
      </c>
      <c r="J12" s="6">
        <f t="shared" si="6"/>
        <v>3724.27</v>
      </c>
      <c r="K12" s="6">
        <f t="shared" si="3"/>
        <v>12957.349999999999</v>
      </c>
      <c r="L12" s="6">
        <f t="shared" si="4"/>
        <v>14198.78</v>
      </c>
    </row>
    <row r="13" spans="1:12" ht="45" x14ac:dyDescent="0.25">
      <c r="A13" s="18">
        <v>5</v>
      </c>
      <c r="B13" s="19" t="s">
        <v>45</v>
      </c>
      <c r="C13" s="18" t="s">
        <v>12</v>
      </c>
      <c r="D13" s="6">
        <f>ROUND((D11+D12)*0.3,2)</f>
        <v>3933.76</v>
      </c>
      <c r="E13" s="6">
        <f t="shared" ref="E13:J13" si="7">ROUND((E11+E12)*0.3,2)</f>
        <v>4303.6000000000004</v>
      </c>
      <c r="F13" s="6">
        <f t="shared" si="7"/>
        <v>4841.55</v>
      </c>
      <c r="G13" s="6">
        <f t="shared" si="7"/>
        <v>4303.6000000000004</v>
      </c>
      <c r="H13" s="6">
        <f t="shared" si="7"/>
        <v>4841.55</v>
      </c>
      <c r="I13" s="6">
        <f t="shared" si="7"/>
        <v>4303.6000000000004</v>
      </c>
      <c r="J13" s="6">
        <f t="shared" si="7"/>
        <v>4841.55</v>
      </c>
      <c r="K13" s="6">
        <f t="shared" si="3"/>
        <v>16844.560000000001</v>
      </c>
      <c r="L13" s="6">
        <f t="shared" si="4"/>
        <v>18458.41</v>
      </c>
    </row>
    <row r="14" spans="1:12" ht="45" x14ac:dyDescent="0.25">
      <c r="A14" s="18">
        <v>6</v>
      </c>
      <c r="B14" s="19" t="s">
        <v>35</v>
      </c>
      <c r="C14" s="18" t="s">
        <v>12</v>
      </c>
      <c r="D14" s="6">
        <f>ROUND((D11+D12)*0.2,2)</f>
        <v>2622.51</v>
      </c>
      <c r="E14" s="6">
        <f t="shared" ref="E14:J14" si="8">ROUND((E11+E12)*0.2,2)</f>
        <v>2869.07</v>
      </c>
      <c r="F14" s="6">
        <f t="shared" si="8"/>
        <v>3227.7</v>
      </c>
      <c r="G14" s="6">
        <f t="shared" si="8"/>
        <v>2869.07</v>
      </c>
      <c r="H14" s="6">
        <f t="shared" si="8"/>
        <v>3227.7</v>
      </c>
      <c r="I14" s="6">
        <f t="shared" si="8"/>
        <v>2869.07</v>
      </c>
      <c r="J14" s="6">
        <f t="shared" si="8"/>
        <v>3227.7</v>
      </c>
      <c r="K14" s="6">
        <f t="shared" ref="K14" si="9">D14+E14+G14+I14</f>
        <v>11229.72</v>
      </c>
      <c r="L14" s="6">
        <f t="shared" ref="L14" si="10">D14+F14+H14+J14</f>
        <v>12305.61</v>
      </c>
    </row>
    <row r="15" spans="1:12" ht="30" x14ac:dyDescent="0.25">
      <c r="A15" s="18">
        <v>7</v>
      </c>
      <c r="B15" s="19" t="s">
        <v>15</v>
      </c>
      <c r="C15" s="18" t="s">
        <v>12</v>
      </c>
      <c r="D15" s="6">
        <f>ROUND((D11+D12)*0.2,2)</f>
        <v>2622.51</v>
      </c>
      <c r="E15" s="6">
        <f t="shared" ref="E15:J15" si="11">ROUND((E11+E12)*0.2,2)</f>
        <v>2869.07</v>
      </c>
      <c r="F15" s="6">
        <f t="shared" si="11"/>
        <v>3227.7</v>
      </c>
      <c r="G15" s="6">
        <f t="shared" si="11"/>
        <v>2869.07</v>
      </c>
      <c r="H15" s="6">
        <f t="shared" si="11"/>
        <v>3227.7</v>
      </c>
      <c r="I15" s="6">
        <f t="shared" si="11"/>
        <v>2869.07</v>
      </c>
      <c r="J15" s="6">
        <f t="shared" si="11"/>
        <v>3227.7</v>
      </c>
      <c r="K15" s="6">
        <f t="shared" si="3"/>
        <v>11229.72</v>
      </c>
      <c r="L15" s="6">
        <f t="shared" si="4"/>
        <v>12305.61</v>
      </c>
    </row>
    <row r="16" spans="1:12" ht="45" x14ac:dyDescent="0.25">
      <c r="A16" s="18">
        <v>8</v>
      </c>
      <c r="B16" s="19" t="s">
        <v>33</v>
      </c>
      <c r="C16" s="18" t="s">
        <v>12</v>
      </c>
      <c r="D16" s="6">
        <f>ROUND(D11*0.1,2)</f>
        <v>1008.66</v>
      </c>
      <c r="E16" s="6">
        <f t="shared" ref="E16:J16" si="12">ROUND(E11*0.1,2)</f>
        <v>1103.49</v>
      </c>
      <c r="F16" s="6">
        <f t="shared" si="12"/>
        <v>1241.42</v>
      </c>
      <c r="G16" s="6">
        <f t="shared" si="12"/>
        <v>1103.49</v>
      </c>
      <c r="H16" s="6">
        <f t="shared" si="12"/>
        <v>1241.42</v>
      </c>
      <c r="I16" s="6">
        <f t="shared" si="12"/>
        <v>1103.49</v>
      </c>
      <c r="J16" s="6">
        <f t="shared" si="12"/>
        <v>1241.42</v>
      </c>
      <c r="K16" s="6">
        <f t="shared" si="3"/>
        <v>4319.13</v>
      </c>
      <c r="L16" s="6">
        <f t="shared" si="4"/>
        <v>4732.92</v>
      </c>
    </row>
    <row r="17" spans="1:12" ht="36.75" customHeight="1" x14ac:dyDescent="0.25">
      <c r="A17" s="18"/>
      <c r="B17" s="19" t="s">
        <v>34</v>
      </c>
      <c r="C17" s="18" t="s">
        <v>12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f t="shared" ref="K17" si="13">D17+E17+G17+I17</f>
        <v>0</v>
      </c>
      <c r="L17" s="6">
        <f t="shared" ref="L17" si="14">D17+F17+H17+J17</f>
        <v>0</v>
      </c>
    </row>
    <row r="18" spans="1:12" x14ac:dyDescent="0.25">
      <c r="A18" s="18">
        <v>9</v>
      </c>
      <c r="B18" s="4" t="s">
        <v>16</v>
      </c>
      <c r="C18" s="18" t="s">
        <v>12</v>
      </c>
      <c r="D18" s="6">
        <f>ROUND((D11+D12+D13+D15+D16+D14+D17)*0.05,2)</f>
        <v>1165</v>
      </c>
      <c r="E18" s="6">
        <f t="shared" ref="E18:J18" si="15">ROUND((E11+E12+E13+E15+E16+E14+E17)*0.05,2)</f>
        <v>1274.53</v>
      </c>
      <c r="F18" s="6">
        <f t="shared" si="15"/>
        <v>1433.84</v>
      </c>
      <c r="G18" s="6">
        <f t="shared" si="15"/>
        <v>1274.53</v>
      </c>
      <c r="H18" s="6">
        <f t="shared" si="15"/>
        <v>1433.84</v>
      </c>
      <c r="I18" s="6">
        <f t="shared" si="15"/>
        <v>1274.53</v>
      </c>
      <c r="J18" s="6">
        <f t="shared" si="15"/>
        <v>1433.84</v>
      </c>
      <c r="K18" s="6">
        <f t="shared" ref="K18:K19" si="16">D18+E18+G18+I18</f>
        <v>4988.5899999999992</v>
      </c>
      <c r="L18" s="6">
        <f t="shared" ref="L18:L19" si="17">D18+F18+H18+J18</f>
        <v>5466.52</v>
      </c>
    </row>
    <row r="19" spans="1:12" x14ac:dyDescent="0.25">
      <c r="A19" s="18">
        <v>10</v>
      </c>
      <c r="B19" s="4" t="s">
        <v>17</v>
      </c>
      <c r="C19" s="18" t="s">
        <v>12</v>
      </c>
      <c r="D19" s="18">
        <f>ROUND((D11+D12+D13+D15+D16+D14+D17)*0.01,2)</f>
        <v>233</v>
      </c>
      <c r="E19" s="18">
        <f t="shared" ref="E19:J19" si="18">ROUND((E11+E12+E13+E15+E16+E14+E17)*0.01,2)</f>
        <v>254.91</v>
      </c>
      <c r="F19" s="18">
        <f t="shared" si="18"/>
        <v>286.77</v>
      </c>
      <c r="G19" s="18">
        <f t="shared" si="18"/>
        <v>254.91</v>
      </c>
      <c r="H19" s="18">
        <f t="shared" si="18"/>
        <v>286.77</v>
      </c>
      <c r="I19" s="18">
        <f t="shared" si="18"/>
        <v>254.91</v>
      </c>
      <c r="J19" s="18">
        <f t="shared" si="18"/>
        <v>286.77</v>
      </c>
      <c r="K19" s="6">
        <f t="shared" si="16"/>
        <v>997.7299999999999</v>
      </c>
      <c r="L19" s="6">
        <f t="shared" si="17"/>
        <v>1093.31</v>
      </c>
    </row>
    <row r="20" spans="1:12" ht="31.5" customHeight="1" x14ac:dyDescent="0.25">
      <c r="A20" s="18">
        <v>11</v>
      </c>
      <c r="B20" s="19" t="s">
        <v>21</v>
      </c>
      <c r="C20" s="18" t="s">
        <v>12</v>
      </c>
      <c r="D20" s="1">
        <f>ROUND((D11+D12+D13+D15+D16+D18+D19+D14+D17)*0.302,2)</f>
        <v>7458.79</v>
      </c>
      <c r="E20" s="1">
        <f t="shared" ref="E20:J20" si="19">ROUND((E11+E12+E13+E15+E16+E18+E19+E14+E17)*0.302,2)</f>
        <v>8160.04</v>
      </c>
      <c r="F20" s="1">
        <f t="shared" si="19"/>
        <v>9180.0400000000009</v>
      </c>
      <c r="G20" s="1">
        <f t="shared" si="19"/>
        <v>8160.04</v>
      </c>
      <c r="H20" s="1">
        <f t="shared" si="19"/>
        <v>9180.0400000000009</v>
      </c>
      <c r="I20" s="1">
        <f t="shared" si="19"/>
        <v>8160.04</v>
      </c>
      <c r="J20" s="1">
        <f t="shared" si="19"/>
        <v>9180.0400000000009</v>
      </c>
      <c r="K20" s="6">
        <f t="shared" ref="K20" si="20">D20+E20+G20+I20</f>
        <v>31938.91</v>
      </c>
      <c r="L20" s="6">
        <f t="shared" ref="L20" si="21">D20+F20+H20+J20</f>
        <v>34998.910000000003</v>
      </c>
    </row>
    <row r="21" spans="1:12" x14ac:dyDescent="0.25">
      <c r="A21" s="18"/>
      <c r="B21" s="19" t="s">
        <v>18</v>
      </c>
      <c r="C21" s="18"/>
      <c r="D21" s="6"/>
      <c r="E21" s="6"/>
      <c r="F21" s="6"/>
      <c r="G21" s="6"/>
      <c r="H21" s="6"/>
      <c r="I21" s="6"/>
      <c r="J21" s="6"/>
      <c r="K21" s="6"/>
      <c r="L21" s="6"/>
    </row>
    <row r="22" spans="1:12" x14ac:dyDescent="0.25">
      <c r="A22" s="18"/>
      <c r="B22" s="20" t="s">
        <v>19</v>
      </c>
      <c r="C22" s="18" t="s">
        <v>12</v>
      </c>
      <c r="D22" s="6">
        <f>D11+D12+D13+D15+D16+D18+D19+D20+D14+D17</f>
        <v>32156.769999999997</v>
      </c>
      <c r="E22" s="6">
        <f t="shared" ref="E22:J22" si="22">E11+E12+E13+E15+E16+E18+E19+E20+E14+E17</f>
        <v>35180.050000000003</v>
      </c>
      <c r="F22" s="6">
        <f t="shared" si="22"/>
        <v>39577.53</v>
      </c>
      <c r="G22" s="6">
        <f t="shared" si="22"/>
        <v>35180.050000000003</v>
      </c>
      <c r="H22" s="6">
        <f t="shared" si="22"/>
        <v>39577.53</v>
      </c>
      <c r="I22" s="6">
        <f t="shared" si="22"/>
        <v>35180.050000000003</v>
      </c>
      <c r="J22" s="6">
        <f t="shared" si="22"/>
        <v>39577.53</v>
      </c>
      <c r="K22" s="6">
        <f t="shared" ref="K22" si="23">D22+E22+G22+I22</f>
        <v>137696.92000000001</v>
      </c>
      <c r="L22" s="6">
        <f t="shared" ref="L22" si="24">D22+F22+H22+J22</f>
        <v>150889.35999999999</v>
      </c>
    </row>
    <row r="23" spans="1:12" x14ac:dyDescent="0.25">
      <c r="A23" s="4"/>
      <c r="B23" s="20" t="s">
        <v>20</v>
      </c>
      <c r="C23" s="18" t="s">
        <v>12</v>
      </c>
      <c r="D23" s="6">
        <f>ROUND(D22*12,2)</f>
        <v>385881.24</v>
      </c>
      <c r="E23" s="6">
        <f t="shared" ref="E23:J23" si="25">ROUND(E22*12,2)</f>
        <v>422160.6</v>
      </c>
      <c r="F23" s="6">
        <f t="shared" si="25"/>
        <v>474930.36</v>
      </c>
      <c r="G23" s="6">
        <f t="shared" si="25"/>
        <v>422160.6</v>
      </c>
      <c r="H23" s="6">
        <f t="shared" si="25"/>
        <v>474930.36</v>
      </c>
      <c r="I23" s="6">
        <f t="shared" si="25"/>
        <v>422160.6</v>
      </c>
      <c r="J23" s="6">
        <f t="shared" si="25"/>
        <v>474930.36</v>
      </c>
      <c r="K23" s="6">
        <f t="shared" ref="K23" si="26">D23+E23+G23+I23</f>
        <v>1652363.04</v>
      </c>
      <c r="L23" s="6">
        <f t="shared" ref="L23" si="27">D23+F23+H23+J23</f>
        <v>1810672.3199999998</v>
      </c>
    </row>
    <row r="24" spans="1:12" ht="21" customHeight="1" x14ac:dyDescent="0.25">
      <c r="A24" s="4"/>
      <c r="B24" s="21" t="s">
        <v>29</v>
      </c>
      <c r="C24" s="22"/>
      <c r="D24" s="22"/>
      <c r="E24" s="22"/>
      <c r="F24" s="22"/>
      <c r="G24" s="22"/>
      <c r="H24" s="22"/>
      <c r="I24" s="22"/>
      <c r="J24" s="22"/>
      <c r="K24" s="22"/>
      <c r="L24" s="23"/>
    </row>
    <row r="25" spans="1:12" ht="31.5" x14ac:dyDescent="0.25">
      <c r="A25" s="10">
        <v>1</v>
      </c>
      <c r="B25" s="14" t="s">
        <v>27</v>
      </c>
      <c r="C25" s="15" t="s">
        <v>26</v>
      </c>
      <c r="D25" s="5">
        <v>10</v>
      </c>
      <c r="E25" s="5">
        <v>10</v>
      </c>
      <c r="F25" s="5">
        <v>10</v>
      </c>
      <c r="G25" s="5">
        <v>10</v>
      </c>
      <c r="H25" s="5">
        <v>10</v>
      </c>
      <c r="I25" s="5">
        <v>10</v>
      </c>
      <c r="J25" s="5">
        <v>10</v>
      </c>
      <c r="K25" s="18">
        <f t="shared" ref="K25" si="28">D25+E25+G25+I25</f>
        <v>40</v>
      </c>
      <c r="L25" s="18">
        <f t="shared" ref="L25" si="29">D25+F25+H25+J25</f>
        <v>40</v>
      </c>
    </row>
    <row r="26" spans="1:12" ht="30" x14ac:dyDescent="0.25">
      <c r="A26" s="18">
        <v>2</v>
      </c>
      <c r="B26" s="19" t="s">
        <v>30</v>
      </c>
      <c r="C26" s="18" t="s">
        <v>8</v>
      </c>
      <c r="D26" s="6">
        <f>ROUND(D25/18,2)</f>
        <v>0.56000000000000005</v>
      </c>
      <c r="E26" s="6">
        <f t="shared" ref="E26:J26" si="30">ROUND(E25/18,2)</f>
        <v>0.56000000000000005</v>
      </c>
      <c r="F26" s="6">
        <f t="shared" si="30"/>
        <v>0.56000000000000005</v>
      </c>
      <c r="G26" s="6">
        <f t="shared" si="30"/>
        <v>0.56000000000000005</v>
      </c>
      <c r="H26" s="6">
        <f t="shared" si="30"/>
        <v>0.56000000000000005</v>
      </c>
      <c r="I26" s="6">
        <f t="shared" si="30"/>
        <v>0.56000000000000005</v>
      </c>
      <c r="J26" s="6">
        <f t="shared" si="30"/>
        <v>0.56000000000000005</v>
      </c>
      <c r="K26" s="18">
        <f t="shared" ref="K26" si="31">D26+E26+G26+I26</f>
        <v>2.2400000000000002</v>
      </c>
      <c r="L26" s="18">
        <f t="shared" ref="L26" si="32">D26+F26+H26+J26</f>
        <v>2.2400000000000002</v>
      </c>
    </row>
    <row r="27" spans="1:12" ht="30" x14ac:dyDescent="0.25">
      <c r="A27" s="18">
        <v>3</v>
      </c>
      <c r="B27" s="19" t="s">
        <v>32</v>
      </c>
      <c r="C27" s="18" t="s">
        <v>12</v>
      </c>
      <c r="D27" s="6">
        <f>ROUND(7834*D26,2)</f>
        <v>4387.04</v>
      </c>
      <c r="E27" s="6">
        <f t="shared" ref="E27:J27" si="33">ROUND(7834*E26,2)</f>
        <v>4387.04</v>
      </c>
      <c r="F27" s="6">
        <f t="shared" si="33"/>
        <v>4387.04</v>
      </c>
      <c r="G27" s="6">
        <f t="shared" si="33"/>
        <v>4387.04</v>
      </c>
      <c r="H27" s="6">
        <f t="shared" si="33"/>
        <v>4387.04</v>
      </c>
      <c r="I27" s="6">
        <f t="shared" si="33"/>
        <v>4387.04</v>
      </c>
      <c r="J27" s="6">
        <f t="shared" si="33"/>
        <v>4387.04</v>
      </c>
      <c r="K27" s="6">
        <f>D27+E27+G27+I27</f>
        <v>17548.16</v>
      </c>
      <c r="L27" s="6">
        <f t="shared" ref="L27:L30" si="34">D27+F27+H27+J27</f>
        <v>17548.16</v>
      </c>
    </row>
    <row r="28" spans="1:12" ht="30" x14ac:dyDescent="0.25">
      <c r="A28" s="18">
        <v>4</v>
      </c>
      <c r="B28" s="19" t="s">
        <v>44</v>
      </c>
      <c r="C28" s="18" t="s">
        <v>12</v>
      </c>
      <c r="D28" s="6">
        <f>ROUND(D27*0.3,2)</f>
        <v>1316.11</v>
      </c>
      <c r="E28" s="6">
        <f t="shared" ref="E28:J28" si="35">ROUND(E27*0.3,2)</f>
        <v>1316.11</v>
      </c>
      <c r="F28" s="6">
        <f t="shared" si="35"/>
        <v>1316.11</v>
      </c>
      <c r="G28" s="6">
        <f t="shared" si="35"/>
        <v>1316.11</v>
      </c>
      <c r="H28" s="6">
        <f t="shared" si="35"/>
        <v>1316.11</v>
      </c>
      <c r="I28" s="6">
        <f t="shared" si="35"/>
        <v>1316.11</v>
      </c>
      <c r="J28" s="6">
        <f t="shared" si="35"/>
        <v>1316.11</v>
      </c>
      <c r="K28" s="18">
        <f t="shared" ref="K28:K30" si="36">D28+E28+G28+I28</f>
        <v>5264.44</v>
      </c>
      <c r="L28" s="6">
        <f t="shared" si="34"/>
        <v>5264.44</v>
      </c>
    </row>
    <row r="29" spans="1:12" ht="45" x14ac:dyDescent="0.25">
      <c r="A29" s="18">
        <v>5</v>
      </c>
      <c r="B29" s="19" t="s">
        <v>45</v>
      </c>
      <c r="C29" s="18" t="s">
        <v>12</v>
      </c>
      <c r="D29" s="6">
        <f>ROUND((D27+D28)*0.3,2)</f>
        <v>1710.95</v>
      </c>
      <c r="E29" s="6">
        <f t="shared" ref="E29:J29" si="37">ROUND((E27+E28)*0.3,2)</f>
        <v>1710.95</v>
      </c>
      <c r="F29" s="6">
        <f t="shared" si="37"/>
        <v>1710.95</v>
      </c>
      <c r="G29" s="6">
        <f t="shared" si="37"/>
        <v>1710.95</v>
      </c>
      <c r="H29" s="6">
        <f t="shared" si="37"/>
        <v>1710.95</v>
      </c>
      <c r="I29" s="6">
        <f t="shared" si="37"/>
        <v>1710.95</v>
      </c>
      <c r="J29" s="6">
        <f t="shared" si="37"/>
        <v>1710.95</v>
      </c>
      <c r="K29" s="18">
        <f t="shared" si="36"/>
        <v>6843.8</v>
      </c>
      <c r="L29" s="6">
        <f t="shared" si="34"/>
        <v>6843.8</v>
      </c>
    </row>
    <row r="30" spans="1:12" ht="30" x14ac:dyDescent="0.25">
      <c r="A30" s="18">
        <v>6</v>
      </c>
      <c r="B30" s="19" t="s">
        <v>15</v>
      </c>
      <c r="C30" s="18" t="s">
        <v>12</v>
      </c>
      <c r="D30" s="6">
        <f>ROUND((D27+D28)*0.2,2)</f>
        <v>1140.6300000000001</v>
      </c>
      <c r="E30" s="6">
        <f t="shared" ref="E30:J30" si="38">ROUND((E27+E28)*0.2,2)</f>
        <v>1140.6300000000001</v>
      </c>
      <c r="F30" s="6">
        <f t="shared" si="38"/>
        <v>1140.6300000000001</v>
      </c>
      <c r="G30" s="6">
        <f t="shared" si="38"/>
        <v>1140.6300000000001</v>
      </c>
      <c r="H30" s="6">
        <f t="shared" si="38"/>
        <v>1140.6300000000001</v>
      </c>
      <c r="I30" s="6">
        <f t="shared" si="38"/>
        <v>1140.6300000000001</v>
      </c>
      <c r="J30" s="6">
        <f t="shared" si="38"/>
        <v>1140.6300000000001</v>
      </c>
      <c r="K30" s="18">
        <f t="shared" si="36"/>
        <v>4562.5200000000004</v>
      </c>
      <c r="L30" s="6">
        <f t="shared" si="34"/>
        <v>4562.5200000000004</v>
      </c>
    </row>
    <row r="31" spans="1:12" ht="45" x14ac:dyDescent="0.25">
      <c r="A31" s="18">
        <v>7</v>
      </c>
      <c r="B31" s="19" t="s">
        <v>33</v>
      </c>
      <c r="C31" s="18" t="s">
        <v>12</v>
      </c>
      <c r="D31" s="6">
        <f>ROUND(D27*0.1,2)</f>
        <v>438.7</v>
      </c>
      <c r="E31" s="6">
        <f t="shared" ref="E31:J31" si="39">ROUND(E27*0.1,2)</f>
        <v>438.7</v>
      </c>
      <c r="F31" s="6">
        <f t="shared" si="39"/>
        <v>438.7</v>
      </c>
      <c r="G31" s="6">
        <f t="shared" si="39"/>
        <v>438.7</v>
      </c>
      <c r="H31" s="6">
        <f t="shared" si="39"/>
        <v>438.7</v>
      </c>
      <c r="I31" s="6">
        <f t="shared" si="39"/>
        <v>438.7</v>
      </c>
      <c r="J31" s="6">
        <f t="shared" si="39"/>
        <v>438.7</v>
      </c>
      <c r="K31" s="18">
        <f t="shared" ref="K31" si="40">D31+E31+G31+I31</f>
        <v>1754.8</v>
      </c>
      <c r="L31" s="6">
        <f t="shared" ref="L31:L38" si="41">D31+F31+H31+J31</f>
        <v>1754.8</v>
      </c>
    </row>
    <row r="32" spans="1:12" ht="30" x14ac:dyDescent="0.25">
      <c r="A32" s="18"/>
      <c r="B32" s="19" t="s">
        <v>34</v>
      </c>
      <c r="C32" s="18" t="s">
        <v>12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18">
        <f t="shared" ref="K32" si="42">D32+E32+G32+I32</f>
        <v>0</v>
      </c>
      <c r="L32" s="6">
        <f t="shared" ref="L32" si="43">D32+F32+H32+J32</f>
        <v>0</v>
      </c>
    </row>
    <row r="33" spans="1:12" x14ac:dyDescent="0.25">
      <c r="A33" s="18">
        <v>8</v>
      </c>
      <c r="B33" s="4" t="s">
        <v>16</v>
      </c>
      <c r="C33" s="18" t="s">
        <v>12</v>
      </c>
      <c r="D33" s="6">
        <f>ROUND((D27+D28+D29+D30+D31+D32)*0.05,2)</f>
        <v>449.67</v>
      </c>
      <c r="E33" s="6">
        <f t="shared" ref="E33:J33" si="44">ROUND((E27+E28+E29+E30+E31+E32)*0.05,2)</f>
        <v>449.67</v>
      </c>
      <c r="F33" s="6">
        <f t="shared" si="44"/>
        <v>449.67</v>
      </c>
      <c r="G33" s="6">
        <f t="shared" si="44"/>
        <v>449.67</v>
      </c>
      <c r="H33" s="6">
        <f t="shared" si="44"/>
        <v>449.67</v>
      </c>
      <c r="I33" s="6">
        <f t="shared" si="44"/>
        <v>449.67</v>
      </c>
      <c r="J33" s="6">
        <f t="shared" si="44"/>
        <v>449.67</v>
      </c>
      <c r="K33" s="6">
        <f t="shared" ref="K33" si="45">ROUND((K27+K28+K29+K30+K31)*0.05,2)</f>
        <v>1798.69</v>
      </c>
      <c r="L33" s="6">
        <f t="shared" si="41"/>
        <v>1798.68</v>
      </c>
    </row>
    <row r="34" spans="1:12" x14ac:dyDescent="0.25">
      <c r="A34" s="18">
        <v>9</v>
      </c>
      <c r="B34" s="4" t="s">
        <v>17</v>
      </c>
      <c r="C34" s="18" t="s">
        <v>12</v>
      </c>
      <c r="D34" s="18">
        <f>ROUND((D27+D28+D29+D30+D31+D32)*0.01,2)</f>
        <v>89.93</v>
      </c>
      <c r="E34" s="18">
        <f t="shared" ref="E34:J34" si="46">ROUND((E27+E28+E29+E30+E31+E32)*0.01,2)</f>
        <v>89.93</v>
      </c>
      <c r="F34" s="18">
        <f t="shared" si="46"/>
        <v>89.93</v>
      </c>
      <c r="G34" s="18">
        <f t="shared" si="46"/>
        <v>89.93</v>
      </c>
      <c r="H34" s="18">
        <f t="shared" si="46"/>
        <v>89.93</v>
      </c>
      <c r="I34" s="18">
        <f t="shared" si="46"/>
        <v>89.93</v>
      </c>
      <c r="J34" s="18">
        <f t="shared" si="46"/>
        <v>89.93</v>
      </c>
      <c r="K34" s="18">
        <f t="shared" ref="K34" si="47">ROUND((K27+K28+K29+K30+K31)*0.01,2)</f>
        <v>359.74</v>
      </c>
      <c r="L34" s="6">
        <f t="shared" si="41"/>
        <v>359.72</v>
      </c>
    </row>
    <row r="35" spans="1:12" ht="30" x14ac:dyDescent="0.25">
      <c r="A35" s="18">
        <v>10</v>
      </c>
      <c r="B35" s="19" t="s">
        <v>21</v>
      </c>
      <c r="C35" s="18" t="s">
        <v>12</v>
      </c>
      <c r="D35" s="1">
        <f>ROUND((D27+D28+D29+D30+D31+D33+D34+D32)*0.302,2)</f>
        <v>2878.98</v>
      </c>
      <c r="E35" s="1">
        <f t="shared" ref="E35:J35" si="48">ROUND((E27+E28+E29+E30+E31+E33+E34+E32)*0.302,2)</f>
        <v>2878.98</v>
      </c>
      <c r="F35" s="1">
        <f t="shared" si="48"/>
        <v>2878.98</v>
      </c>
      <c r="G35" s="1">
        <f t="shared" si="48"/>
        <v>2878.98</v>
      </c>
      <c r="H35" s="1">
        <f t="shared" si="48"/>
        <v>2878.98</v>
      </c>
      <c r="I35" s="1">
        <f t="shared" si="48"/>
        <v>2878.98</v>
      </c>
      <c r="J35" s="1">
        <f t="shared" si="48"/>
        <v>2878.98</v>
      </c>
      <c r="K35" s="1">
        <f t="shared" ref="K35" si="49">ROUND((K27+K28+K29+K30+K31+K33+K34)*0.302,2)</f>
        <v>11515.91</v>
      </c>
      <c r="L35" s="6">
        <f t="shared" si="41"/>
        <v>11515.92</v>
      </c>
    </row>
    <row r="36" spans="1:12" x14ac:dyDescent="0.25">
      <c r="A36" s="4"/>
      <c r="B36" s="19" t="s">
        <v>31</v>
      </c>
      <c r="C36" s="18" t="s">
        <v>12</v>
      </c>
      <c r="D36" s="6"/>
      <c r="E36" s="6"/>
      <c r="F36" s="6"/>
      <c r="G36" s="6"/>
      <c r="H36" s="6"/>
      <c r="I36" s="6"/>
      <c r="J36" s="6"/>
      <c r="K36" s="6"/>
      <c r="L36" s="6"/>
    </row>
    <row r="37" spans="1:12" x14ac:dyDescent="0.25">
      <c r="A37" s="4"/>
      <c r="B37" s="20" t="s">
        <v>19</v>
      </c>
      <c r="C37" s="18" t="s">
        <v>12</v>
      </c>
      <c r="D37" s="6">
        <f>D27+D28+D29+D30+D31+D33+D34+D35+D32</f>
        <v>12412.01</v>
      </c>
      <c r="E37" s="6">
        <f t="shared" ref="E37:J37" si="50">E27+E28+E29+E30+E31+E33+E34+E35+E32</f>
        <v>12412.01</v>
      </c>
      <c r="F37" s="6">
        <f t="shared" si="50"/>
        <v>12412.01</v>
      </c>
      <c r="G37" s="6">
        <f t="shared" si="50"/>
        <v>12412.01</v>
      </c>
      <c r="H37" s="6">
        <f t="shared" si="50"/>
        <v>12412.01</v>
      </c>
      <c r="I37" s="6">
        <f t="shared" si="50"/>
        <v>12412.01</v>
      </c>
      <c r="J37" s="6">
        <f t="shared" si="50"/>
        <v>12412.01</v>
      </c>
      <c r="K37" s="6">
        <f t="shared" ref="K37" si="51">K27+K28+K29+K30+K31+K33+K34+K35</f>
        <v>49648.06</v>
      </c>
      <c r="L37" s="6">
        <f t="shared" si="41"/>
        <v>49648.04</v>
      </c>
    </row>
    <row r="38" spans="1:12" x14ac:dyDescent="0.25">
      <c r="A38" s="4"/>
      <c r="B38" s="20" t="s">
        <v>20</v>
      </c>
      <c r="C38" s="18" t="s">
        <v>12</v>
      </c>
      <c r="D38" s="6">
        <f>ROUND(D37*12,2)</f>
        <v>148944.12</v>
      </c>
      <c r="E38" s="6">
        <f t="shared" ref="E38:K38" si="52">ROUND(E37*12,2)</f>
        <v>148944.12</v>
      </c>
      <c r="F38" s="6">
        <f t="shared" si="52"/>
        <v>148944.12</v>
      </c>
      <c r="G38" s="6">
        <f t="shared" si="52"/>
        <v>148944.12</v>
      </c>
      <c r="H38" s="6">
        <f t="shared" si="52"/>
        <v>148944.12</v>
      </c>
      <c r="I38" s="6">
        <f t="shared" si="52"/>
        <v>148944.12</v>
      </c>
      <c r="J38" s="6">
        <f t="shared" si="52"/>
        <v>148944.12</v>
      </c>
      <c r="K38" s="6">
        <f t="shared" si="52"/>
        <v>595776.72</v>
      </c>
      <c r="L38" s="6">
        <f t="shared" si="41"/>
        <v>595776.48</v>
      </c>
    </row>
    <row r="39" spans="1:12" ht="19.5" customHeight="1" x14ac:dyDescent="0.25">
      <c r="A39" s="4"/>
      <c r="B39" s="33" t="s">
        <v>22</v>
      </c>
      <c r="C39" s="34"/>
      <c r="D39" s="4"/>
      <c r="E39" s="4"/>
      <c r="F39" s="4"/>
      <c r="G39" s="4"/>
      <c r="H39" s="4"/>
      <c r="I39" s="4"/>
      <c r="J39" s="4"/>
      <c r="K39" s="4"/>
      <c r="L39" s="4"/>
    </row>
    <row r="40" spans="1:12" x14ac:dyDescent="0.25">
      <c r="A40" s="4"/>
      <c r="B40" s="19" t="s">
        <v>49</v>
      </c>
      <c r="C40" s="18" t="s">
        <v>12</v>
      </c>
      <c r="D40" s="6">
        <f>ROUND(D23*0.069,2)</f>
        <v>26625.81</v>
      </c>
      <c r="E40" s="6">
        <f t="shared" ref="E40:J40" si="53">ROUND(E23*0.069,2)</f>
        <v>29129.08</v>
      </c>
      <c r="F40" s="6">
        <f t="shared" si="53"/>
        <v>32770.19</v>
      </c>
      <c r="G40" s="6">
        <f t="shared" si="53"/>
        <v>29129.08</v>
      </c>
      <c r="H40" s="6">
        <f t="shared" si="53"/>
        <v>32770.19</v>
      </c>
      <c r="I40" s="6">
        <f t="shared" si="53"/>
        <v>29129.08</v>
      </c>
      <c r="J40" s="6">
        <f t="shared" si="53"/>
        <v>32770.19</v>
      </c>
      <c r="K40" s="6">
        <f t="shared" ref="K40" si="54">D40+E40+G40+I40</f>
        <v>114013.05</v>
      </c>
      <c r="L40" s="6">
        <f t="shared" ref="L40" si="55">D40+F40+H40+J40</f>
        <v>124936.38</v>
      </c>
    </row>
    <row r="41" spans="1:12" ht="66" customHeight="1" x14ac:dyDescent="0.25">
      <c r="A41" s="4"/>
      <c r="B41" s="31" t="s">
        <v>24</v>
      </c>
      <c r="C41" s="32"/>
      <c r="D41" s="6"/>
      <c r="E41" s="6"/>
      <c r="F41" s="6"/>
      <c r="G41" s="6"/>
      <c r="H41" s="6"/>
      <c r="I41" s="6"/>
      <c r="J41" s="6"/>
      <c r="K41" s="6"/>
      <c r="L41" s="6"/>
    </row>
    <row r="42" spans="1:12" ht="45" customHeight="1" x14ac:dyDescent="0.25">
      <c r="A42" s="4"/>
      <c r="B42" s="19" t="s">
        <v>47</v>
      </c>
      <c r="C42" s="18" t="s">
        <v>12</v>
      </c>
      <c r="D42" s="6">
        <f>ROUND(0.051*D23,2)</f>
        <v>19679.939999999999</v>
      </c>
      <c r="E42" s="6">
        <f t="shared" ref="E42:J42" si="56">ROUND(0.051*E23,2)</f>
        <v>21530.19</v>
      </c>
      <c r="F42" s="6">
        <f t="shared" si="56"/>
        <v>24221.45</v>
      </c>
      <c r="G42" s="6">
        <f t="shared" si="56"/>
        <v>21530.19</v>
      </c>
      <c r="H42" s="6">
        <f t="shared" si="56"/>
        <v>24221.45</v>
      </c>
      <c r="I42" s="6">
        <f t="shared" si="56"/>
        <v>21530.19</v>
      </c>
      <c r="J42" s="6">
        <f t="shared" si="56"/>
        <v>24221.45</v>
      </c>
      <c r="K42" s="6">
        <f t="shared" ref="K42" si="57">D42+E42+G42+I42</f>
        <v>84270.51</v>
      </c>
      <c r="L42" s="6">
        <f t="shared" ref="L42" si="58">D42+F42+H42+J42</f>
        <v>92344.29</v>
      </c>
    </row>
    <row r="43" spans="1:12" ht="66.75" customHeight="1" x14ac:dyDescent="0.25">
      <c r="A43" s="4"/>
      <c r="B43" s="31" t="s">
        <v>23</v>
      </c>
      <c r="C43" s="32"/>
      <c r="D43" s="4"/>
      <c r="E43" s="4"/>
      <c r="F43" s="4"/>
      <c r="G43" s="4"/>
      <c r="H43" s="4"/>
      <c r="I43" s="4"/>
      <c r="J43" s="4"/>
      <c r="K43" s="4"/>
      <c r="L43" s="4"/>
    </row>
    <row r="44" spans="1:12" ht="51" customHeight="1" x14ac:dyDescent="0.25">
      <c r="A44" s="4"/>
      <c r="B44" s="19" t="s">
        <v>48</v>
      </c>
      <c r="C44" s="18" t="s">
        <v>12</v>
      </c>
      <c r="D44" s="6">
        <f>ROUND(0.025*D23,2)</f>
        <v>9647.0300000000007</v>
      </c>
      <c r="E44" s="6">
        <f t="shared" ref="E44:J44" si="59">ROUND(0.025*E23,2)</f>
        <v>10554.02</v>
      </c>
      <c r="F44" s="6">
        <f t="shared" si="59"/>
        <v>11873.26</v>
      </c>
      <c r="G44" s="6">
        <f t="shared" si="59"/>
        <v>10554.02</v>
      </c>
      <c r="H44" s="6">
        <f t="shared" si="59"/>
        <v>11873.26</v>
      </c>
      <c r="I44" s="6">
        <f t="shared" si="59"/>
        <v>10554.02</v>
      </c>
      <c r="J44" s="6">
        <f t="shared" si="59"/>
        <v>11873.26</v>
      </c>
      <c r="K44" s="6">
        <f t="shared" ref="K44" si="60">D44+E44+G44+I44</f>
        <v>41309.090000000004</v>
      </c>
      <c r="L44" s="6">
        <f t="shared" ref="L44" si="61">D44+F44+H44+J44</f>
        <v>45266.810000000005</v>
      </c>
    </row>
    <row r="45" spans="1:12" ht="68.25" customHeight="1" x14ac:dyDescent="0.25">
      <c r="A45" s="4"/>
      <c r="B45" s="31" t="s">
        <v>25</v>
      </c>
      <c r="C45" s="32"/>
      <c r="D45" s="4"/>
      <c r="E45" s="4"/>
      <c r="F45" s="4"/>
      <c r="G45" s="4"/>
      <c r="H45" s="4"/>
      <c r="I45" s="4"/>
      <c r="J45" s="4"/>
      <c r="K45" s="4"/>
      <c r="L45" s="4"/>
    </row>
    <row r="46" spans="1:12" x14ac:dyDescent="0.25">
      <c r="A46" s="4"/>
      <c r="B46" s="4"/>
      <c r="C46" s="18" t="s">
        <v>12</v>
      </c>
      <c r="D46" s="6">
        <f>D23+D40+D42+D44+D38</f>
        <v>590778.14</v>
      </c>
      <c r="E46" s="6">
        <f t="shared" ref="E46:J46" si="62">E23+E40+E42+E44+E38</f>
        <v>632318.01</v>
      </c>
      <c r="F46" s="6">
        <f t="shared" si="62"/>
        <v>692739.38</v>
      </c>
      <c r="G46" s="6">
        <f t="shared" si="62"/>
        <v>632318.01</v>
      </c>
      <c r="H46" s="6">
        <f t="shared" si="62"/>
        <v>692739.38</v>
      </c>
      <c r="I46" s="6">
        <f t="shared" si="62"/>
        <v>632318.01</v>
      </c>
      <c r="J46" s="6">
        <f t="shared" si="62"/>
        <v>692739.38</v>
      </c>
      <c r="K46" s="6">
        <f t="shared" ref="K46" si="63">D46+E46+G46+I46</f>
        <v>2487732.17</v>
      </c>
      <c r="L46" s="6">
        <f t="shared" ref="L46" si="64">D46+F46+H46+J46</f>
        <v>2668996.2799999998</v>
      </c>
    </row>
    <row r="47" spans="1:12" ht="20.25" customHeight="1" x14ac:dyDescent="0.25">
      <c r="A47" s="4"/>
      <c r="B47" s="31" t="s">
        <v>37</v>
      </c>
      <c r="C47" s="32"/>
      <c r="D47" s="5">
        <v>25</v>
      </c>
      <c r="E47" s="5">
        <v>25</v>
      </c>
      <c r="F47" s="5">
        <v>25</v>
      </c>
      <c r="G47" s="5">
        <v>25</v>
      </c>
      <c r="H47" s="5">
        <v>25</v>
      </c>
      <c r="I47" s="5">
        <v>25</v>
      </c>
      <c r="J47" s="5">
        <v>25</v>
      </c>
      <c r="K47" s="5">
        <v>25</v>
      </c>
      <c r="L47" s="5">
        <v>25</v>
      </c>
    </row>
    <row r="48" spans="1:12" ht="30" customHeight="1" x14ac:dyDescent="0.25">
      <c r="A48" s="4"/>
      <c r="B48" s="31" t="s">
        <v>38</v>
      </c>
      <c r="C48" s="32"/>
      <c r="D48" s="5">
        <f>ROUND(D46/D47,0)</f>
        <v>23631</v>
      </c>
      <c r="E48" s="5">
        <f t="shared" ref="E48:J48" si="65">ROUND(E46/E47,0)</f>
        <v>25293</v>
      </c>
      <c r="F48" s="5">
        <f t="shared" si="65"/>
        <v>27710</v>
      </c>
      <c r="G48" s="5">
        <f t="shared" si="65"/>
        <v>25293</v>
      </c>
      <c r="H48" s="5">
        <f t="shared" si="65"/>
        <v>27710</v>
      </c>
      <c r="I48" s="5">
        <f t="shared" si="65"/>
        <v>25293</v>
      </c>
      <c r="J48" s="5">
        <f t="shared" si="65"/>
        <v>27710</v>
      </c>
      <c r="K48" s="5">
        <f>ROUND((D48+E48+G48+I48)/4,2)</f>
        <v>24877.5</v>
      </c>
      <c r="L48" s="5">
        <f>ROUND((D48+F48+H48+J48)/4,2)</f>
        <v>26690.25</v>
      </c>
    </row>
    <row r="49" spans="1:12" ht="54.75" customHeight="1" x14ac:dyDescent="0.25">
      <c r="A49" s="4"/>
      <c r="B49" s="31" t="s">
        <v>39</v>
      </c>
      <c r="C49" s="32"/>
      <c r="D49" s="6"/>
      <c r="E49" s="6"/>
      <c r="F49" s="6"/>
      <c r="G49" s="6"/>
      <c r="H49" s="6"/>
      <c r="I49" s="6"/>
      <c r="J49" s="6"/>
      <c r="K49" s="5">
        <v>24878</v>
      </c>
      <c r="L49" s="5">
        <v>24878</v>
      </c>
    </row>
    <row r="50" spans="1:12" ht="99" customHeight="1" x14ac:dyDescent="0.25">
      <c r="A50" s="4"/>
      <c r="B50" s="37" t="s">
        <v>40</v>
      </c>
      <c r="C50" s="38"/>
      <c r="D50" s="6"/>
      <c r="E50" s="6"/>
      <c r="F50" s="6"/>
      <c r="G50" s="6"/>
      <c r="H50" s="6"/>
      <c r="I50" s="6"/>
      <c r="J50" s="6"/>
      <c r="K50" s="7">
        <f>ROUND(K48/K49,3)</f>
        <v>1</v>
      </c>
      <c r="L50" s="7">
        <f>ROUND(L48/L49,3)</f>
        <v>1.073</v>
      </c>
    </row>
    <row r="51" spans="1:12" ht="60" customHeight="1" x14ac:dyDescent="0.25">
      <c r="A51" s="4"/>
      <c r="B51" s="31" t="s">
        <v>41</v>
      </c>
      <c r="C51" s="32"/>
      <c r="D51" s="39" t="s">
        <v>51</v>
      </c>
      <c r="E51" s="40"/>
      <c r="F51" s="40"/>
      <c r="G51" s="40"/>
      <c r="H51" s="40"/>
      <c r="I51" s="40"/>
      <c r="J51" s="41"/>
      <c r="K51" s="5">
        <v>7051</v>
      </c>
      <c r="L51" s="5">
        <v>7051</v>
      </c>
    </row>
    <row r="52" spans="1:12" ht="53.25" customHeight="1" x14ac:dyDescent="0.25">
      <c r="A52" s="4"/>
      <c r="B52" s="31" t="s">
        <v>42</v>
      </c>
      <c r="C52" s="32"/>
      <c r="D52" s="6"/>
      <c r="E52" s="6"/>
      <c r="F52" s="6"/>
      <c r="G52" s="6"/>
      <c r="H52" s="6"/>
      <c r="I52" s="6"/>
      <c r="J52" s="6"/>
      <c r="K52" s="5">
        <f>K49+K51</f>
        <v>31929</v>
      </c>
      <c r="L52" s="5">
        <f>L49+L51</f>
        <v>31929</v>
      </c>
    </row>
  </sheetData>
  <mergeCells count="22">
    <mergeCell ref="B50:C50"/>
    <mergeCell ref="B51:C51"/>
    <mergeCell ref="D51:J51"/>
    <mergeCell ref="B52:C52"/>
    <mergeCell ref="K2:L2"/>
    <mergeCell ref="A3:L3"/>
    <mergeCell ref="B47:C47"/>
    <mergeCell ref="B48:C48"/>
    <mergeCell ref="B49:C49"/>
    <mergeCell ref="B45:C45"/>
    <mergeCell ref="A5:A7"/>
    <mergeCell ref="B8:C8"/>
    <mergeCell ref="E6:F6"/>
    <mergeCell ref="G6:H6"/>
    <mergeCell ref="I6:J6"/>
    <mergeCell ref="B43:C43"/>
    <mergeCell ref="B41:C41"/>
    <mergeCell ref="B39:C39"/>
    <mergeCell ref="D5:L5"/>
    <mergeCell ref="C5:C7"/>
    <mergeCell ref="B5:B7"/>
    <mergeCell ref="K6:L6"/>
  </mergeCells>
  <printOptions horizontalCentered="1"/>
  <pageMargins left="0.51181102362204722" right="0.11811023622047245" top="0.55118110236220474" bottom="0.35433070866141736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8"/>
  <sheetViews>
    <sheetView view="pageBreakPreview" zoomScale="80" zoomScaleNormal="90" zoomScaleSheetLayoutView="80" workbookViewId="0">
      <pane xSplit="3" ySplit="7" topLeftCell="D50" activePane="bottomRight" state="frozen"/>
      <selection pane="topRight" activeCell="D1" sqref="D1"/>
      <selection pane="bottomLeft" activeCell="A5" sqref="A5"/>
      <selection pane="bottomRight" activeCell="K53" sqref="K53"/>
    </sheetView>
  </sheetViews>
  <sheetFormatPr defaultRowHeight="15" x14ac:dyDescent="0.25"/>
  <cols>
    <col min="1" max="1" width="7.140625" style="2" customWidth="1"/>
    <col min="2" max="2" width="28.28515625" style="2" customWidth="1"/>
    <col min="3" max="3" width="13.7109375" style="2" customWidth="1"/>
    <col min="4" max="4" width="12.28515625" style="2" customWidth="1"/>
    <col min="5" max="5" width="12.140625" style="2" customWidth="1"/>
    <col min="6" max="6" width="13.42578125" style="2" customWidth="1"/>
    <col min="7" max="7" width="12.7109375" style="2" customWidth="1"/>
    <col min="8" max="8" width="12.5703125" style="2" customWidth="1"/>
    <col min="9" max="9" width="13" style="2" customWidth="1"/>
    <col min="10" max="10" width="11.7109375" style="2" customWidth="1"/>
    <col min="11" max="11" width="14.85546875" style="2" customWidth="1"/>
    <col min="12" max="12" width="12.42578125" style="2" customWidth="1"/>
    <col min="13" max="16384" width="9.140625" style="2"/>
  </cols>
  <sheetData>
    <row r="2" spans="1:12" ht="18.75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42" t="s">
        <v>50</v>
      </c>
      <c r="L2" s="42"/>
    </row>
    <row r="3" spans="1:12" ht="18.75" x14ac:dyDescent="0.3">
      <c r="A3" s="43" t="s">
        <v>43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5" spans="1:12" ht="15" customHeight="1" x14ac:dyDescent="0.25">
      <c r="A5" s="44" t="s">
        <v>5</v>
      </c>
      <c r="B5" s="36" t="s">
        <v>6</v>
      </c>
      <c r="C5" s="36" t="s">
        <v>7</v>
      </c>
      <c r="D5" s="35" t="s">
        <v>14</v>
      </c>
      <c r="E5" s="35"/>
      <c r="F5" s="35"/>
      <c r="G5" s="35"/>
      <c r="H5" s="35"/>
      <c r="I5" s="35"/>
      <c r="J5" s="35"/>
      <c r="K5" s="35"/>
      <c r="L5" s="35"/>
    </row>
    <row r="6" spans="1:12" ht="15" customHeight="1" x14ac:dyDescent="0.25">
      <c r="A6" s="45"/>
      <c r="B6" s="36"/>
      <c r="C6" s="36"/>
      <c r="D6" s="8" t="s">
        <v>0</v>
      </c>
      <c r="E6" s="49" t="s">
        <v>1</v>
      </c>
      <c r="F6" s="50"/>
      <c r="G6" s="49" t="s">
        <v>2</v>
      </c>
      <c r="H6" s="50"/>
      <c r="I6" s="49" t="s">
        <v>3</v>
      </c>
      <c r="J6" s="50"/>
      <c r="K6" s="35" t="s">
        <v>4</v>
      </c>
      <c r="L6" s="35"/>
    </row>
    <row r="7" spans="1:12" ht="45" x14ac:dyDescent="0.25">
      <c r="A7" s="46"/>
      <c r="B7" s="36"/>
      <c r="C7" s="36"/>
      <c r="D7" s="9" t="s">
        <v>10</v>
      </c>
      <c r="E7" s="9" t="s">
        <v>10</v>
      </c>
      <c r="F7" s="9" t="s">
        <v>11</v>
      </c>
      <c r="G7" s="9" t="s">
        <v>10</v>
      </c>
      <c r="H7" s="9" t="s">
        <v>11</v>
      </c>
      <c r="I7" s="9" t="s">
        <v>10</v>
      </c>
      <c r="J7" s="9" t="s">
        <v>11</v>
      </c>
      <c r="K7" s="9" t="s">
        <v>10</v>
      </c>
      <c r="L7" s="9" t="s">
        <v>11</v>
      </c>
    </row>
    <row r="8" spans="1:12" ht="30" customHeight="1" x14ac:dyDescent="0.25">
      <c r="A8" s="10"/>
      <c r="B8" s="47" t="s">
        <v>13</v>
      </c>
      <c r="C8" s="48"/>
      <c r="D8" s="12"/>
      <c r="E8" s="12"/>
      <c r="F8" s="12"/>
      <c r="G8" s="12"/>
      <c r="H8" s="12"/>
      <c r="I8" s="12"/>
      <c r="J8" s="12"/>
      <c r="K8" s="12"/>
      <c r="L8" s="13"/>
    </row>
    <row r="9" spans="1:12" ht="30" customHeight="1" x14ac:dyDescent="0.25">
      <c r="A9" s="10">
        <v>1</v>
      </c>
      <c r="B9" s="14" t="s">
        <v>27</v>
      </c>
      <c r="C9" s="15" t="s">
        <v>26</v>
      </c>
      <c r="D9" s="16">
        <v>21</v>
      </c>
      <c r="E9" s="17">
        <v>23</v>
      </c>
      <c r="F9" s="17">
        <v>26</v>
      </c>
      <c r="G9" s="17">
        <v>23</v>
      </c>
      <c r="H9" s="17">
        <v>26</v>
      </c>
      <c r="I9" s="17">
        <v>23</v>
      </c>
      <c r="J9" s="17">
        <v>26</v>
      </c>
      <c r="K9" s="18">
        <f t="shared" ref="K9" si="0">D9+E9+G9+I9</f>
        <v>90</v>
      </c>
      <c r="L9" s="18">
        <f t="shared" ref="L9" si="1">D9+F9+H9+J9</f>
        <v>99</v>
      </c>
    </row>
    <row r="10" spans="1:12" ht="43.5" customHeight="1" x14ac:dyDescent="0.25">
      <c r="A10" s="18">
        <v>2</v>
      </c>
      <c r="B10" s="19" t="s">
        <v>28</v>
      </c>
      <c r="C10" s="18" t="s">
        <v>8</v>
      </c>
      <c r="D10" s="18">
        <f>ROUND(D9/18,2)</f>
        <v>1.17</v>
      </c>
      <c r="E10" s="18">
        <f t="shared" ref="E10:J10" si="2">ROUND(E9/18,2)</f>
        <v>1.28</v>
      </c>
      <c r="F10" s="18">
        <f t="shared" si="2"/>
        <v>1.44</v>
      </c>
      <c r="G10" s="18">
        <f t="shared" si="2"/>
        <v>1.28</v>
      </c>
      <c r="H10" s="18">
        <f t="shared" si="2"/>
        <v>1.44</v>
      </c>
      <c r="I10" s="18">
        <f t="shared" si="2"/>
        <v>1.28</v>
      </c>
      <c r="J10" s="18">
        <f t="shared" si="2"/>
        <v>1.44</v>
      </c>
      <c r="K10" s="18">
        <f t="shared" ref="K10:K21" si="3">D10+E10+G10+I10</f>
        <v>5.0100000000000007</v>
      </c>
      <c r="L10" s="18">
        <f t="shared" ref="L10:L21" si="4">D10+F10+H10+J10</f>
        <v>5.49</v>
      </c>
    </row>
    <row r="11" spans="1:12" ht="45" x14ac:dyDescent="0.25">
      <c r="A11" s="10">
        <v>3</v>
      </c>
      <c r="B11" s="19" t="s">
        <v>32</v>
      </c>
      <c r="C11" s="18" t="s">
        <v>12</v>
      </c>
      <c r="D11" s="6">
        <f>ROUND(8621*D10,2)</f>
        <v>10086.57</v>
      </c>
      <c r="E11" s="6">
        <f t="shared" ref="E11:J11" si="5">ROUND(8621*E10,2)</f>
        <v>11034.88</v>
      </c>
      <c r="F11" s="6">
        <f t="shared" si="5"/>
        <v>12414.24</v>
      </c>
      <c r="G11" s="6">
        <f t="shared" si="5"/>
        <v>11034.88</v>
      </c>
      <c r="H11" s="6">
        <f t="shared" si="5"/>
        <v>12414.24</v>
      </c>
      <c r="I11" s="6">
        <f t="shared" si="5"/>
        <v>11034.88</v>
      </c>
      <c r="J11" s="6">
        <f t="shared" si="5"/>
        <v>12414.24</v>
      </c>
      <c r="K11" s="6">
        <f t="shared" si="3"/>
        <v>43191.209999999992</v>
      </c>
      <c r="L11" s="6">
        <f t="shared" si="4"/>
        <v>47329.289999999994</v>
      </c>
    </row>
    <row r="12" spans="1:12" ht="60" x14ac:dyDescent="0.25">
      <c r="A12" s="18">
        <v>4</v>
      </c>
      <c r="B12" s="19" t="s">
        <v>44</v>
      </c>
      <c r="C12" s="18" t="s">
        <v>12</v>
      </c>
      <c r="D12" s="6">
        <f>ROUND(D11*0.3,2)</f>
        <v>3025.97</v>
      </c>
      <c r="E12" s="6">
        <f t="shared" ref="E12:J12" si="6">ROUND(E11*0.3,2)</f>
        <v>3310.46</v>
      </c>
      <c r="F12" s="6">
        <f t="shared" si="6"/>
        <v>3724.27</v>
      </c>
      <c r="G12" s="6">
        <f t="shared" si="6"/>
        <v>3310.46</v>
      </c>
      <c r="H12" s="6">
        <f t="shared" si="6"/>
        <v>3724.27</v>
      </c>
      <c r="I12" s="6">
        <f t="shared" si="6"/>
        <v>3310.46</v>
      </c>
      <c r="J12" s="6">
        <f t="shared" si="6"/>
        <v>3724.27</v>
      </c>
      <c r="K12" s="6">
        <f t="shared" si="3"/>
        <v>12957.349999999999</v>
      </c>
      <c r="L12" s="6">
        <f t="shared" si="4"/>
        <v>14198.78</v>
      </c>
    </row>
    <row r="13" spans="1:12" ht="60" x14ac:dyDescent="0.25">
      <c r="A13" s="24">
        <v>5</v>
      </c>
      <c r="B13" s="19" t="s">
        <v>35</v>
      </c>
      <c r="C13" s="18" t="s">
        <v>12</v>
      </c>
      <c r="D13" s="6">
        <f>ROUND((D11+D12)*0.2,2)</f>
        <v>2622.51</v>
      </c>
      <c r="E13" s="6">
        <f t="shared" ref="E13:J13" si="7">ROUND((E11+E12)*0.2,2)</f>
        <v>2869.07</v>
      </c>
      <c r="F13" s="6">
        <f t="shared" si="7"/>
        <v>3227.7</v>
      </c>
      <c r="G13" s="6">
        <f t="shared" si="7"/>
        <v>2869.07</v>
      </c>
      <c r="H13" s="6">
        <f t="shared" si="7"/>
        <v>3227.7</v>
      </c>
      <c r="I13" s="6">
        <f t="shared" si="7"/>
        <v>2869.07</v>
      </c>
      <c r="J13" s="6">
        <f t="shared" si="7"/>
        <v>3227.7</v>
      </c>
      <c r="K13" s="6">
        <f t="shared" ref="K13" si="8">D13+E13+G13+I13</f>
        <v>11229.72</v>
      </c>
      <c r="L13" s="6">
        <f t="shared" ref="L13" si="9">D13+F13+H13+J13</f>
        <v>12305.61</v>
      </c>
    </row>
    <row r="14" spans="1:12" ht="75" x14ac:dyDescent="0.25">
      <c r="A14" s="10">
        <v>6</v>
      </c>
      <c r="B14" s="19" t="s">
        <v>45</v>
      </c>
      <c r="C14" s="18" t="s">
        <v>12</v>
      </c>
      <c r="D14" s="6">
        <f>ROUND((D11+D12)*0.3,2)</f>
        <v>3933.76</v>
      </c>
      <c r="E14" s="6">
        <f t="shared" ref="E14:H14" si="10">ROUND((E11+E12)*0.3,2)</f>
        <v>4303.6000000000004</v>
      </c>
      <c r="F14" s="6">
        <f t="shared" si="10"/>
        <v>4841.55</v>
      </c>
      <c r="G14" s="6">
        <f t="shared" si="10"/>
        <v>4303.6000000000004</v>
      </c>
      <c r="H14" s="6">
        <f t="shared" si="10"/>
        <v>4841.55</v>
      </c>
      <c r="I14" s="6">
        <f t="shared" ref="I14" si="11">ROUND((I11+I12)*0.3,2)</f>
        <v>4303.6000000000004</v>
      </c>
      <c r="J14" s="6">
        <f t="shared" ref="J14" si="12">ROUND((J11+J12)*0.3,2)</f>
        <v>4841.55</v>
      </c>
      <c r="K14" s="6">
        <f t="shared" ref="K14" si="13">D14+E14+G14+I14</f>
        <v>16844.560000000001</v>
      </c>
      <c r="L14" s="6">
        <f t="shared" ref="L14" si="14">D14+F14+H14+J14</f>
        <v>18458.41</v>
      </c>
    </row>
    <row r="15" spans="1:12" ht="60" x14ac:dyDescent="0.25">
      <c r="A15" s="18">
        <v>7</v>
      </c>
      <c r="B15" s="19" t="s">
        <v>46</v>
      </c>
      <c r="C15" s="18" t="s">
        <v>12</v>
      </c>
      <c r="D15" s="6">
        <f>ROUND(D11*0.25,2)</f>
        <v>2521.64</v>
      </c>
      <c r="E15" s="6">
        <f>ROUND(E11*0.25,2)</f>
        <v>2758.72</v>
      </c>
      <c r="F15" s="6">
        <f t="shared" ref="F15:J15" si="15">ROUND(F11*0.25,2)</f>
        <v>3103.56</v>
      </c>
      <c r="G15" s="6">
        <f t="shared" si="15"/>
        <v>2758.72</v>
      </c>
      <c r="H15" s="6">
        <f t="shared" si="15"/>
        <v>3103.56</v>
      </c>
      <c r="I15" s="6">
        <f t="shared" si="15"/>
        <v>2758.72</v>
      </c>
      <c r="J15" s="6">
        <f t="shared" si="15"/>
        <v>3103.56</v>
      </c>
      <c r="K15" s="6">
        <f t="shared" ref="K15" si="16">D15+E15+G15+I15</f>
        <v>10797.8</v>
      </c>
      <c r="L15" s="6">
        <f t="shared" ref="L15" si="17">D15+F15+H15+J15</f>
        <v>11832.32</v>
      </c>
    </row>
    <row r="16" spans="1:12" ht="45" x14ac:dyDescent="0.25">
      <c r="A16" s="10">
        <v>8</v>
      </c>
      <c r="B16" s="19" t="s">
        <v>15</v>
      </c>
      <c r="C16" s="18" t="s">
        <v>12</v>
      </c>
      <c r="D16" s="6">
        <f>ROUND((D11+D12)*0.2,2)</f>
        <v>2622.51</v>
      </c>
      <c r="E16" s="6">
        <f t="shared" ref="E16:J16" si="18">ROUND((E11+E12)*0.2,2)</f>
        <v>2869.07</v>
      </c>
      <c r="F16" s="6">
        <f t="shared" si="18"/>
        <v>3227.7</v>
      </c>
      <c r="G16" s="6">
        <f t="shared" si="18"/>
        <v>2869.07</v>
      </c>
      <c r="H16" s="6">
        <f t="shared" si="18"/>
        <v>3227.7</v>
      </c>
      <c r="I16" s="6">
        <f t="shared" si="18"/>
        <v>2869.07</v>
      </c>
      <c r="J16" s="6">
        <f t="shared" si="18"/>
        <v>3227.7</v>
      </c>
      <c r="K16" s="6">
        <f t="shared" si="3"/>
        <v>11229.72</v>
      </c>
      <c r="L16" s="6">
        <f t="shared" si="4"/>
        <v>12305.61</v>
      </c>
    </row>
    <row r="17" spans="1:12" ht="63" customHeight="1" x14ac:dyDescent="0.25">
      <c r="A17" s="18">
        <v>9</v>
      </c>
      <c r="B17" s="19" t="s">
        <v>33</v>
      </c>
      <c r="C17" s="18" t="s">
        <v>12</v>
      </c>
      <c r="D17" s="6">
        <f>ROUND(D11*0.1,2)</f>
        <v>1008.66</v>
      </c>
      <c r="E17" s="6">
        <f t="shared" ref="E17:J17" si="19">ROUND(E11*0.1,2)</f>
        <v>1103.49</v>
      </c>
      <c r="F17" s="6">
        <f t="shared" si="19"/>
        <v>1241.42</v>
      </c>
      <c r="G17" s="6">
        <f t="shared" si="19"/>
        <v>1103.49</v>
      </c>
      <c r="H17" s="6">
        <f t="shared" si="19"/>
        <v>1241.42</v>
      </c>
      <c r="I17" s="6">
        <f t="shared" si="19"/>
        <v>1103.49</v>
      </c>
      <c r="J17" s="6">
        <f t="shared" si="19"/>
        <v>1241.42</v>
      </c>
      <c r="K17" s="6">
        <f t="shared" si="3"/>
        <v>4319.13</v>
      </c>
      <c r="L17" s="6">
        <f t="shared" si="4"/>
        <v>4732.92</v>
      </c>
    </row>
    <row r="18" spans="1:12" ht="56.25" customHeight="1" x14ac:dyDescent="0.25">
      <c r="A18" s="24"/>
      <c r="B18" s="19" t="s">
        <v>34</v>
      </c>
      <c r="C18" s="18" t="s">
        <v>12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f t="shared" ref="K18" si="20">D18+E18+G18+I18</f>
        <v>0</v>
      </c>
      <c r="L18" s="6">
        <f t="shared" ref="L18" si="21">D18+F18+H18+J18</f>
        <v>0</v>
      </c>
    </row>
    <row r="19" spans="1:12" x14ac:dyDescent="0.25">
      <c r="A19" s="10">
        <v>10</v>
      </c>
      <c r="B19" s="4" t="s">
        <v>16</v>
      </c>
      <c r="C19" s="18" t="s">
        <v>12</v>
      </c>
      <c r="D19" s="6">
        <f>ROUND((D11+D12+D14+D15+D16+D17+D13+D18)*0.05,2)</f>
        <v>1291.08</v>
      </c>
      <c r="E19" s="6">
        <f t="shared" ref="E19:J19" si="22">ROUND((E11+E12+E14+E15+E16+E17+E13+E18)*0.05,2)</f>
        <v>1412.46</v>
      </c>
      <c r="F19" s="6">
        <f t="shared" si="22"/>
        <v>1589.02</v>
      </c>
      <c r="G19" s="6">
        <f t="shared" si="22"/>
        <v>1412.46</v>
      </c>
      <c r="H19" s="6">
        <f t="shared" si="22"/>
        <v>1589.02</v>
      </c>
      <c r="I19" s="6">
        <f t="shared" si="22"/>
        <v>1412.46</v>
      </c>
      <c r="J19" s="6">
        <f t="shared" si="22"/>
        <v>1589.02</v>
      </c>
      <c r="K19" s="6">
        <f t="shared" si="3"/>
        <v>5528.46</v>
      </c>
      <c r="L19" s="6">
        <f t="shared" si="4"/>
        <v>6058.1399999999994</v>
      </c>
    </row>
    <row r="20" spans="1:12" x14ac:dyDescent="0.25">
      <c r="A20" s="18">
        <v>11</v>
      </c>
      <c r="B20" s="4" t="s">
        <v>17</v>
      </c>
      <c r="C20" s="18" t="s">
        <v>12</v>
      </c>
      <c r="D20" s="18">
        <f>ROUND((D11+D12+D14+D15+D16+D17+D13+D18)*0.01,2)</f>
        <v>258.22000000000003</v>
      </c>
      <c r="E20" s="18">
        <f t="shared" ref="E20:J20" si="23">ROUND((E11+E12+E14+E15+E16+E17+E13+E18)*0.01,2)</f>
        <v>282.49</v>
      </c>
      <c r="F20" s="18">
        <f t="shared" si="23"/>
        <v>317.8</v>
      </c>
      <c r="G20" s="18">
        <f t="shared" si="23"/>
        <v>282.49</v>
      </c>
      <c r="H20" s="18">
        <f t="shared" si="23"/>
        <v>317.8</v>
      </c>
      <c r="I20" s="18">
        <f t="shared" si="23"/>
        <v>282.49</v>
      </c>
      <c r="J20" s="18">
        <f t="shared" si="23"/>
        <v>317.8</v>
      </c>
      <c r="K20" s="6">
        <f t="shared" si="3"/>
        <v>1105.69</v>
      </c>
      <c r="L20" s="6">
        <f t="shared" si="4"/>
        <v>1211.6199999999999</v>
      </c>
    </row>
    <row r="21" spans="1:12" ht="31.5" customHeight="1" x14ac:dyDescent="0.25">
      <c r="A21" s="10">
        <v>12</v>
      </c>
      <c r="B21" s="19" t="s">
        <v>21</v>
      </c>
      <c r="C21" s="18" t="s">
        <v>12</v>
      </c>
      <c r="D21" s="1">
        <f>ROUND((D11+D12+D14+D15+D16+D17+D19+D20+D13+D18)*0.302,2)</f>
        <v>8266.02</v>
      </c>
      <c r="E21" s="1">
        <f t="shared" ref="E21:J21" si="24">ROUND((E11+E12+E14+E15+E16+E17+E19+E20+E13+E18)*0.302,2)</f>
        <v>9043.16</v>
      </c>
      <c r="F21" s="1">
        <f t="shared" si="24"/>
        <v>10173.549999999999</v>
      </c>
      <c r="G21" s="1">
        <f t="shared" si="24"/>
        <v>9043.16</v>
      </c>
      <c r="H21" s="1">
        <f t="shared" si="24"/>
        <v>10173.549999999999</v>
      </c>
      <c r="I21" s="1">
        <f t="shared" si="24"/>
        <v>9043.16</v>
      </c>
      <c r="J21" s="1">
        <f t="shared" si="24"/>
        <v>10173.549999999999</v>
      </c>
      <c r="K21" s="6">
        <f t="shared" si="3"/>
        <v>35395.5</v>
      </c>
      <c r="L21" s="6">
        <f t="shared" si="4"/>
        <v>38786.67</v>
      </c>
    </row>
    <row r="22" spans="1:12" ht="30" x14ac:dyDescent="0.25">
      <c r="A22" s="18"/>
      <c r="B22" s="19" t="s">
        <v>18</v>
      </c>
      <c r="C22" s="18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5">
      <c r="A23" s="18"/>
      <c r="B23" s="20" t="s">
        <v>19</v>
      </c>
      <c r="C23" s="18" t="s">
        <v>12</v>
      </c>
      <c r="D23" s="6">
        <f>D11+D12+D14+D15+D16+D17+D19+D20+D21+D13+D18</f>
        <v>35636.939999999995</v>
      </c>
      <c r="E23" s="6">
        <f t="shared" ref="E23:J23" si="25">E11+E12+E14+E15+E16+E17+E19+E20+E21+E13+E18</f>
        <v>38987.4</v>
      </c>
      <c r="F23" s="6">
        <f t="shared" si="25"/>
        <v>43860.81</v>
      </c>
      <c r="G23" s="6">
        <f t="shared" si="25"/>
        <v>38987.4</v>
      </c>
      <c r="H23" s="6">
        <f t="shared" si="25"/>
        <v>43860.81</v>
      </c>
      <c r="I23" s="6">
        <f t="shared" si="25"/>
        <v>38987.4</v>
      </c>
      <c r="J23" s="6">
        <f t="shared" si="25"/>
        <v>43860.81</v>
      </c>
      <c r="K23" s="6">
        <f t="shared" ref="K23:K24" si="26">D23+E23+G23+I23</f>
        <v>152599.13999999998</v>
      </c>
      <c r="L23" s="6">
        <f t="shared" ref="L23:L24" si="27">D23+F23+H23+J23</f>
        <v>167219.37</v>
      </c>
    </row>
    <row r="24" spans="1:12" x14ac:dyDescent="0.25">
      <c r="A24" s="4"/>
      <c r="B24" s="20" t="s">
        <v>20</v>
      </c>
      <c r="C24" s="18" t="s">
        <v>12</v>
      </c>
      <c r="D24" s="6">
        <f>ROUND(D23*12,2)</f>
        <v>427643.28</v>
      </c>
      <c r="E24" s="6">
        <f t="shared" ref="E24:J24" si="28">ROUND(E23*12,2)</f>
        <v>467848.8</v>
      </c>
      <c r="F24" s="6">
        <f t="shared" si="28"/>
        <v>526329.72</v>
      </c>
      <c r="G24" s="6">
        <f t="shared" si="28"/>
        <v>467848.8</v>
      </c>
      <c r="H24" s="6">
        <f t="shared" si="28"/>
        <v>526329.72</v>
      </c>
      <c r="I24" s="6">
        <f t="shared" si="28"/>
        <v>467848.8</v>
      </c>
      <c r="J24" s="6">
        <f t="shared" si="28"/>
        <v>526329.72</v>
      </c>
      <c r="K24" s="6">
        <f t="shared" si="26"/>
        <v>1831189.6800000002</v>
      </c>
      <c r="L24" s="6">
        <f t="shared" si="27"/>
        <v>2006632.44</v>
      </c>
    </row>
    <row r="25" spans="1:12" ht="15.75" x14ac:dyDescent="0.25">
      <c r="A25" s="4"/>
      <c r="B25" s="21" t="s">
        <v>29</v>
      </c>
      <c r="C25" s="25"/>
      <c r="D25" s="6"/>
      <c r="E25" s="6"/>
      <c r="F25" s="6"/>
      <c r="G25" s="6"/>
      <c r="H25" s="6"/>
      <c r="I25" s="6"/>
      <c r="J25" s="6"/>
      <c r="K25" s="6"/>
      <c r="L25" s="6"/>
    </row>
    <row r="26" spans="1:12" ht="31.5" x14ac:dyDescent="0.25">
      <c r="A26" s="10">
        <v>1</v>
      </c>
      <c r="B26" s="14" t="s">
        <v>27</v>
      </c>
      <c r="C26" s="15" t="s">
        <v>26</v>
      </c>
      <c r="D26" s="5">
        <v>10</v>
      </c>
      <c r="E26" s="5">
        <v>10</v>
      </c>
      <c r="F26" s="5">
        <v>10</v>
      </c>
      <c r="G26" s="5">
        <v>10</v>
      </c>
      <c r="H26" s="5">
        <v>10</v>
      </c>
      <c r="I26" s="5">
        <v>10</v>
      </c>
      <c r="J26" s="5">
        <v>10</v>
      </c>
      <c r="K26" s="18">
        <f t="shared" ref="K26:K27" si="29">D26+E26+G26+I26</f>
        <v>40</v>
      </c>
      <c r="L26" s="18">
        <f t="shared" ref="L26:L30" si="30">D26+F26+H26+J26</f>
        <v>40</v>
      </c>
    </row>
    <row r="27" spans="1:12" ht="45" x14ac:dyDescent="0.25">
      <c r="A27" s="18">
        <v>2</v>
      </c>
      <c r="B27" s="19" t="s">
        <v>30</v>
      </c>
      <c r="C27" s="18" t="s">
        <v>8</v>
      </c>
      <c r="D27" s="6">
        <f>ROUND(D26/18,2)</f>
        <v>0.56000000000000005</v>
      </c>
      <c r="E27" s="6">
        <f t="shared" ref="E27:J27" si="31">ROUND(E26/18,2)</f>
        <v>0.56000000000000005</v>
      </c>
      <c r="F27" s="6">
        <f t="shared" si="31"/>
        <v>0.56000000000000005</v>
      </c>
      <c r="G27" s="6">
        <f t="shared" si="31"/>
        <v>0.56000000000000005</v>
      </c>
      <c r="H27" s="6">
        <f t="shared" si="31"/>
        <v>0.56000000000000005</v>
      </c>
      <c r="I27" s="6">
        <f t="shared" si="31"/>
        <v>0.56000000000000005</v>
      </c>
      <c r="J27" s="6">
        <f t="shared" si="31"/>
        <v>0.56000000000000005</v>
      </c>
      <c r="K27" s="18">
        <f t="shared" si="29"/>
        <v>2.2400000000000002</v>
      </c>
      <c r="L27" s="18">
        <f t="shared" si="30"/>
        <v>2.2400000000000002</v>
      </c>
    </row>
    <row r="28" spans="1:12" ht="45" x14ac:dyDescent="0.25">
      <c r="A28" s="10">
        <v>3</v>
      </c>
      <c r="B28" s="19" t="s">
        <v>32</v>
      </c>
      <c r="C28" s="18" t="s">
        <v>12</v>
      </c>
      <c r="D28" s="6">
        <f>ROUND(7834*D27,2)</f>
        <v>4387.04</v>
      </c>
      <c r="E28" s="6">
        <f t="shared" ref="E28:J28" si="32">ROUND(7834*E27,2)</f>
        <v>4387.04</v>
      </c>
      <c r="F28" s="6">
        <f t="shared" si="32"/>
        <v>4387.04</v>
      </c>
      <c r="G28" s="6">
        <f t="shared" si="32"/>
        <v>4387.04</v>
      </c>
      <c r="H28" s="6">
        <f t="shared" si="32"/>
        <v>4387.04</v>
      </c>
      <c r="I28" s="6">
        <f t="shared" si="32"/>
        <v>4387.04</v>
      </c>
      <c r="J28" s="6">
        <f t="shared" si="32"/>
        <v>4387.04</v>
      </c>
      <c r="K28" s="6">
        <f>D28+E28+G28+I28</f>
        <v>17548.16</v>
      </c>
      <c r="L28" s="6">
        <f t="shared" si="30"/>
        <v>17548.16</v>
      </c>
    </row>
    <row r="29" spans="1:12" ht="60" x14ac:dyDescent="0.25">
      <c r="A29" s="18">
        <v>4</v>
      </c>
      <c r="B29" s="19" t="s">
        <v>44</v>
      </c>
      <c r="C29" s="18" t="s">
        <v>12</v>
      </c>
      <c r="D29" s="6">
        <f>ROUND(D28*0.3,2)</f>
        <v>1316.11</v>
      </c>
      <c r="E29" s="6">
        <f t="shared" ref="E29:J29" si="33">ROUND(E28*0.3,2)</f>
        <v>1316.11</v>
      </c>
      <c r="F29" s="6">
        <f t="shared" si="33"/>
        <v>1316.11</v>
      </c>
      <c r="G29" s="6">
        <f t="shared" si="33"/>
        <v>1316.11</v>
      </c>
      <c r="H29" s="6">
        <f t="shared" si="33"/>
        <v>1316.11</v>
      </c>
      <c r="I29" s="6">
        <f t="shared" si="33"/>
        <v>1316.11</v>
      </c>
      <c r="J29" s="6">
        <f t="shared" si="33"/>
        <v>1316.11</v>
      </c>
      <c r="K29" s="6">
        <f t="shared" ref="K29:K30" si="34">D29+E29+G29+I29</f>
        <v>5264.44</v>
      </c>
      <c r="L29" s="6">
        <f t="shared" si="30"/>
        <v>5264.44</v>
      </c>
    </row>
    <row r="30" spans="1:12" ht="75" x14ac:dyDescent="0.25">
      <c r="A30" s="10">
        <v>5</v>
      </c>
      <c r="B30" s="19" t="s">
        <v>45</v>
      </c>
      <c r="C30" s="18" t="s">
        <v>12</v>
      </c>
      <c r="D30" s="6">
        <f>ROUND((D28+D29)*0.3,2)</f>
        <v>1710.95</v>
      </c>
      <c r="E30" s="6">
        <f t="shared" ref="E30:J30" si="35">ROUND((E28+E29)*0.3,2)</f>
        <v>1710.95</v>
      </c>
      <c r="F30" s="6">
        <f t="shared" si="35"/>
        <v>1710.95</v>
      </c>
      <c r="G30" s="6">
        <f t="shared" si="35"/>
        <v>1710.95</v>
      </c>
      <c r="H30" s="6">
        <f t="shared" si="35"/>
        <v>1710.95</v>
      </c>
      <c r="I30" s="6">
        <f t="shared" si="35"/>
        <v>1710.95</v>
      </c>
      <c r="J30" s="6">
        <f t="shared" si="35"/>
        <v>1710.95</v>
      </c>
      <c r="K30" s="6">
        <f t="shared" si="34"/>
        <v>6843.8</v>
      </c>
      <c r="L30" s="6">
        <f t="shared" si="30"/>
        <v>6843.8</v>
      </c>
    </row>
    <row r="31" spans="1:12" ht="60" x14ac:dyDescent="0.25">
      <c r="A31" s="10">
        <v>6</v>
      </c>
      <c r="B31" s="19" t="s">
        <v>46</v>
      </c>
      <c r="C31" s="18" t="s">
        <v>12</v>
      </c>
      <c r="D31" s="6">
        <f>ROUND(D28*0.25,2)</f>
        <v>1096.76</v>
      </c>
      <c r="E31" s="6">
        <f t="shared" ref="E31:J31" si="36">ROUND(E28*0.25,2)</f>
        <v>1096.76</v>
      </c>
      <c r="F31" s="6">
        <f t="shared" si="36"/>
        <v>1096.76</v>
      </c>
      <c r="G31" s="6">
        <f t="shared" si="36"/>
        <v>1096.76</v>
      </c>
      <c r="H31" s="6">
        <f t="shared" si="36"/>
        <v>1096.76</v>
      </c>
      <c r="I31" s="6">
        <f t="shared" si="36"/>
        <v>1096.76</v>
      </c>
      <c r="J31" s="6">
        <f t="shared" si="36"/>
        <v>1096.76</v>
      </c>
      <c r="K31" s="6">
        <f t="shared" ref="K31" si="37">D31+E31+G31+I31</f>
        <v>4387.04</v>
      </c>
      <c r="L31" s="6">
        <f t="shared" ref="L31" si="38">D31+F31+H31+J31</f>
        <v>4387.04</v>
      </c>
    </row>
    <row r="32" spans="1:12" ht="45" x14ac:dyDescent="0.25">
      <c r="A32" s="18">
        <v>7</v>
      </c>
      <c r="B32" s="19" t="s">
        <v>15</v>
      </c>
      <c r="C32" s="18" t="s">
        <v>12</v>
      </c>
      <c r="D32" s="6">
        <f>ROUND((D28+D29)*0.2,2)</f>
        <v>1140.6300000000001</v>
      </c>
      <c r="E32" s="6">
        <f t="shared" ref="E32:J32" si="39">ROUND((E28+E29)*0.2,2)</f>
        <v>1140.6300000000001</v>
      </c>
      <c r="F32" s="6">
        <f t="shared" si="39"/>
        <v>1140.6300000000001</v>
      </c>
      <c r="G32" s="6">
        <f t="shared" si="39"/>
        <v>1140.6300000000001</v>
      </c>
      <c r="H32" s="6">
        <f t="shared" si="39"/>
        <v>1140.6300000000001</v>
      </c>
      <c r="I32" s="6">
        <f t="shared" si="39"/>
        <v>1140.6300000000001</v>
      </c>
      <c r="J32" s="6">
        <f t="shared" si="39"/>
        <v>1140.6300000000001</v>
      </c>
      <c r="K32" s="6">
        <f t="shared" ref="K32" si="40">D32+E32+G32+I32</f>
        <v>4562.5200000000004</v>
      </c>
      <c r="L32" s="6">
        <f t="shared" ref="L32" si="41">D32+F32+H32+J32</f>
        <v>4562.5200000000004</v>
      </c>
    </row>
    <row r="33" spans="1:12" ht="60" x14ac:dyDescent="0.25">
      <c r="A33" s="10">
        <v>8</v>
      </c>
      <c r="B33" s="19" t="s">
        <v>33</v>
      </c>
      <c r="C33" s="18" t="s">
        <v>12</v>
      </c>
      <c r="D33" s="6">
        <f>ROUND(D28*0.1,2)</f>
        <v>438.7</v>
      </c>
      <c r="E33" s="6">
        <f t="shared" ref="E33:J33" si="42">ROUND(E28*0.1,2)</f>
        <v>438.7</v>
      </c>
      <c r="F33" s="6">
        <f t="shared" si="42"/>
        <v>438.7</v>
      </c>
      <c r="G33" s="6">
        <f t="shared" si="42"/>
        <v>438.7</v>
      </c>
      <c r="H33" s="6">
        <f t="shared" si="42"/>
        <v>438.7</v>
      </c>
      <c r="I33" s="6">
        <f t="shared" si="42"/>
        <v>438.7</v>
      </c>
      <c r="J33" s="6">
        <f t="shared" si="42"/>
        <v>438.7</v>
      </c>
      <c r="K33" s="6">
        <f t="shared" ref="K33" si="43">D33+E33+G33+I33</f>
        <v>1754.8</v>
      </c>
      <c r="L33" s="6">
        <f t="shared" ref="L33" si="44">D33+F33+H33+J33</f>
        <v>1754.8</v>
      </c>
    </row>
    <row r="34" spans="1:12" ht="45" x14ac:dyDescent="0.25">
      <c r="A34" s="10"/>
      <c r="B34" s="19" t="s">
        <v>34</v>
      </c>
      <c r="C34" s="18" t="s">
        <v>12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f t="shared" ref="K34" si="45">D34+E34+G34+I34</f>
        <v>0</v>
      </c>
      <c r="L34" s="6">
        <f t="shared" ref="L34" si="46">D34+F34+H34+J34</f>
        <v>0</v>
      </c>
    </row>
    <row r="35" spans="1:12" x14ac:dyDescent="0.25">
      <c r="A35" s="18">
        <v>9</v>
      </c>
      <c r="B35" s="4" t="s">
        <v>16</v>
      </c>
      <c r="C35" s="18" t="s">
        <v>12</v>
      </c>
      <c r="D35" s="6">
        <f>ROUND((D28+D29+D30+D31+D32+D33+D34)*0.05,2)</f>
        <v>504.51</v>
      </c>
      <c r="E35" s="6">
        <f t="shared" ref="E35:J35" si="47">ROUND((E28+E29+E30+E31+E32+E33+E34)*0.05,2)</f>
        <v>504.51</v>
      </c>
      <c r="F35" s="6">
        <f t="shared" si="47"/>
        <v>504.51</v>
      </c>
      <c r="G35" s="6">
        <f t="shared" si="47"/>
        <v>504.51</v>
      </c>
      <c r="H35" s="6">
        <f t="shared" si="47"/>
        <v>504.51</v>
      </c>
      <c r="I35" s="6">
        <f t="shared" si="47"/>
        <v>504.51</v>
      </c>
      <c r="J35" s="6">
        <f t="shared" si="47"/>
        <v>504.51</v>
      </c>
      <c r="K35" s="6">
        <f t="shared" ref="K35" si="48">D35+E35+G35+I35</f>
        <v>2018.04</v>
      </c>
      <c r="L35" s="6">
        <f t="shared" ref="L35" si="49">D35+F35+H35+J35</f>
        <v>2018.04</v>
      </c>
    </row>
    <row r="36" spans="1:12" x14ac:dyDescent="0.25">
      <c r="A36" s="10">
        <v>10</v>
      </c>
      <c r="B36" s="4" t="s">
        <v>17</v>
      </c>
      <c r="C36" s="18" t="s">
        <v>12</v>
      </c>
      <c r="D36" s="6">
        <f>ROUND((D28+D29+D30+D31+D32+D33+D34)*0.01,2)</f>
        <v>100.9</v>
      </c>
      <c r="E36" s="6">
        <f t="shared" ref="E36:J36" si="50">ROUND((E28+E29+E30+E31+E32+E33+E34)*0.01,2)</f>
        <v>100.9</v>
      </c>
      <c r="F36" s="6">
        <f t="shared" si="50"/>
        <v>100.9</v>
      </c>
      <c r="G36" s="6">
        <f t="shared" si="50"/>
        <v>100.9</v>
      </c>
      <c r="H36" s="6">
        <f t="shared" si="50"/>
        <v>100.9</v>
      </c>
      <c r="I36" s="6">
        <f t="shared" si="50"/>
        <v>100.9</v>
      </c>
      <c r="J36" s="6">
        <f t="shared" si="50"/>
        <v>100.9</v>
      </c>
      <c r="K36" s="6">
        <f t="shared" ref="K36" si="51">D36+E36+G36+I36</f>
        <v>403.6</v>
      </c>
      <c r="L36" s="6">
        <f t="shared" ref="L36" si="52">D36+F36+H36+J36</f>
        <v>403.6</v>
      </c>
    </row>
    <row r="37" spans="1:12" ht="45" x14ac:dyDescent="0.25">
      <c r="A37" s="18">
        <v>11</v>
      </c>
      <c r="B37" s="19" t="s">
        <v>21</v>
      </c>
      <c r="C37" s="18" t="s">
        <v>12</v>
      </c>
      <c r="D37" s="1">
        <f>ROUND((D28+D29+D30+D31+D32+D33+D35+D36+D34)*0.302,2)</f>
        <v>3230.07</v>
      </c>
      <c r="E37" s="1">
        <f t="shared" ref="E37:J37" si="53">ROUND((E28+E29+E30+E31+E32+E33+E35+E36+E34)*0.302,2)</f>
        <v>3230.07</v>
      </c>
      <c r="F37" s="1">
        <f t="shared" si="53"/>
        <v>3230.07</v>
      </c>
      <c r="G37" s="1">
        <f t="shared" si="53"/>
        <v>3230.07</v>
      </c>
      <c r="H37" s="1">
        <f t="shared" si="53"/>
        <v>3230.07</v>
      </c>
      <c r="I37" s="1">
        <f t="shared" si="53"/>
        <v>3230.07</v>
      </c>
      <c r="J37" s="1">
        <f t="shared" si="53"/>
        <v>3230.07</v>
      </c>
      <c r="K37" s="6">
        <f t="shared" ref="K37" si="54">D37+E37+G37+I37</f>
        <v>12920.28</v>
      </c>
      <c r="L37" s="6">
        <f t="shared" ref="L37" si="55">D37+F37+H37+J37</f>
        <v>12920.28</v>
      </c>
    </row>
    <row r="38" spans="1:12" ht="30" x14ac:dyDescent="0.25">
      <c r="A38" s="10">
        <v>12</v>
      </c>
      <c r="B38" s="19" t="s">
        <v>31</v>
      </c>
      <c r="C38" s="18" t="s">
        <v>12</v>
      </c>
      <c r="D38" s="6"/>
      <c r="E38" s="6"/>
      <c r="F38" s="6"/>
      <c r="G38" s="6"/>
      <c r="H38" s="6"/>
      <c r="I38" s="6"/>
      <c r="J38" s="6"/>
      <c r="K38" s="6"/>
      <c r="L38" s="6"/>
    </row>
    <row r="39" spans="1:12" x14ac:dyDescent="0.25">
      <c r="A39" s="4"/>
      <c r="B39" s="20" t="s">
        <v>19</v>
      </c>
      <c r="C39" s="18" t="s">
        <v>12</v>
      </c>
      <c r="D39" s="6">
        <f>D28+D29+D30+D31+D32+D33+D35+D36+D37+D34</f>
        <v>13925.669999999998</v>
      </c>
      <c r="E39" s="6">
        <f t="shared" ref="E39:J39" si="56">E28+E29+E30+E31+E32+E33+E35+E36+E37+E34</f>
        <v>13925.669999999998</v>
      </c>
      <c r="F39" s="6">
        <f t="shared" si="56"/>
        <v>13925.669999999998</v>
      </c>
      <c r="G39" s="6">
        <f t="shared" si="56"/>
        <v>13925.669999999998</v>
      </c>
      <c r="H39" s="6">
        <f t="shared" si="56"/>
        <v>13925.669999999998</v>
      </c>
      <c r="I39" s="6">
        <f t="shared" si="56"/>
        <v>13925.669999999998</v>
      </c>
      <c r="J39" s="6">
        <f t="shared" si="56"/>
        <v>13925.669999999998</v>
      </c>
      <c r="K39" s="6">
        <f t="shared" ref="K39:K40" si="57">D39+E39+G39+I39</f>
        <v>55702.679999999993</v>
      </c>
      <c r="L39" s="6">
        <f t="shared" ref="L39:L40" si="58">D39+F39+H39+J39</f>
        <v>55702.679999999993</v>
      </c>
    </row>
    <row r="40" spans="1:12" ht="15.75" customHeight="1" x14ac:dyDescent="0.25">
      <c r="A40" s="4"/>
      <c r="B40" s="20" t="s">
        <v>20</v>
      </c>
      <c r="C40" s="18" t="s">
        <v>12</v>
      </c>
      <c r="D40" s="6">
        <f>ROUND(D39*12,2)</f>
        <v>167108.04</v>
      </c>
      <c r="E40" s="6">
        <f t="shared" ref="E40:J40" si="59">ROUND(E39*12,2)</f>
        <v>167108.04</v>
      </c>
      <c r="F40" s="6">
        <f t="shared" si="59"/>
        <v>167108.04</v>
      </c>
      <c r="G40" s="6">
        <f t="shared" si="59"/>
        <v>167108.04</v>
      </c>
      <c r="H40" s="6">
        <f t="shared" si="59"/>
        <v>167108.04</v>
      </c>
      <c r="I40" s="6">
        <f t="shared" si="59"/>
        <v>167108.04</v>
      </c>
      <c r="J40" s="6">
        <f t="shared" si="59"/>
        <v>167108.04</v>
      </c>
      <c r="K40" s="6">
        <f t="shared" si="57"/>
        <v>668432.16</v>
      </c>
      <c r="L40" s="6">
        <f t="shared" si="58"/>
        <v>668432.16</v>
      </c>
    </row>
    <row r="41" spans="1:12" ht="24" customHeight="1" x14ac:dyDescent="0.25">
      <c r="A41" s="4"/>
      <c r="B41" s="33" t="s">
        <v>22</v>
      </c>
      <c r="C41" s="3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4"/>
      <c r="B42" s="19" t="s">
        <v>49</v>
      </c>
      <c r="C42" s="30" t="s">
        <v>12</v>
      </c>
      <c r="D42" s="6">
        <f>ROUND(D24*0.069,2)</f>
        <v>29507.39</v>
      </c>
      <c r="E42" s="6">
        <f t="shared" ref="E42:J42" si="60">ROUND(E24*0.069,2)</f>
        <v>32281.57</v>
      </c>
      <c r="F42" s="6">
        <f t="shared" si="60"/>
        <v>36316.75</v>
      </c>
      <c r="G42" s="6">
        <f t="shared" si="60"/>
        <v>32281.57</v>
      </c>
      <c r="H42" s="6">
        <f t="shared" si="60"/>
        <v>36316.75</v>
      </c>
      <c r="I42" s="6">
        <f t="shared" si="60"/>
        <v>32281.57</v>
      </c>
      <c r="J42" s="6">
        <f t="shared" si="60"/>
        <v>36316.75</v>
      </c>
      <c r="K42" s="6">
        <f t="shared" ref="K42" si="61">D42+E42+G42+I42</f>
        <v>126352.1</v>
      </c>
      <c r="L42" s="6">
        <f t="shared" ref="L42" si="62">D42+F42+H42+J42</f>
        <v>138457.64000000001</v>
      </c>
    </row>
    <row r="43" spans="1:12" ht="66" customHeight="1" x14ac:dyDescent="0.25">
      <c r="A43" s="4"/>
      <c r="B43" s="31" t="s">
        <v>24</v>
      </c>
      <c r="C43" s="32"/>
      <c r="D43" s="6"/>
      <c r="E43" s="6"/>
      <c r="F43" s="6"/>
      <c r="G43" s="6"/>
      <c r="H43" s="6"/>
      <c r="I43" s="6"/>
      <c r="J43" s="6"/>
      <c r="K43" s="6"/>
      <c r="L43" s="6"/>
    </row>
    <row r="44" spans="1:12" ht="45" customHeight="1" x14ac:dyDescent="0.25">
      <c r="A44" s="4"/>
      <c r="B44" s="19" t="s">
        <v>47</v>
      </c>
      <c r="C44" s="30" t="s">
        <v>12</v>
      </c>
      <c r="D44" s="6">
        <f>ROUND(0.051*D24,2)</f>
        <v>21809.81</v>
      </c>
      <c r="E44" s="6">
        <f t="shared" ref="E44:J44" si="63">ROUND(0.051*E24,2)</f>
        <v>23860.29</v>
      </c>
      <c r="F44" s="6">
        <f t="shared" si="63"/>
        <v>26842.82</v>
      </c>
      <c r="G44" s="6">
        <f t="shared" si="63"/>
        <v>23860.29</v>
      </c>
      <c r="H44" s="6">
        <f t="shared" si="63"/>
        <v>26842.82</v>
      </c>
      <c r="I44" s="6">
        <f t="shared" si="63"/>
        <v>23860.29</v>
      </c>
      <c r="J44" s="6">
        <f t="shared" si="63"/>
        <v>26842.82</v>
      </c>
      <c r="K44" s="6">
        <f t="shared" ref="K44" si="64">D44+E44+G44+I44</f>
        <v>93390.680000000022</v>
      </c>
      <c r="L44" s="6">
        <f t="shared" ref="L44" si="65">D44+F44+H44+J44</f>
        <v>102338.27000000002</v>
      </c>
    </row>
    <row r="45" spans="1:12" ht="66.75" customHeight="1" x14ac:dyDescent="0.25">
      <c r="A45" s="4"/>
      <c r="B45" s="31" t="s">
        <v>23</v>
      </c>
      <c r="C45" s="32"/>
      <c r="D45" s="4"/>
      <c r="E45" s="4"/>
      <c r="F45" s="4"/>
      <c r="G45" s="4"/>
      <c r="H45" s="4"/>
      <c r="I45" s="4"/>
      <c r="J45" s="4"/>
      <c r="K45" s="4"/>
      <c r="L45" s="4"/>
    </row>
    <row r="46" spans="1:12" ht="45" x14ac:dyDescent="0.25">
      <c r="A46" s="4"/>
      <c r="B46" s="19" t="s">
        <v>48</v>
      </c>
      <c r="C46" s="30" t="s">
        <v>12</v>
      </c>
      <c r="D46" s="6">
        <f>ROUND(0.025*D24,2)</f>
        <v>10691.08</v>
      </c>
      <c r="E46" s="6">
        <f t="shared" ref="E46:J46" si="66">ROUND(0.025*E24,2)</f>
        <v>11696.22</v>
      </c>
      <c r="F46" s="6">
        <f t="shared" si="66"/>
        <v>13158.24</v>
      </c>
      <c r="G46" s="6">
        <f t="shared" si="66"/>
        <v>11696.22</v>
      </c>
      <c r="H46" s="6">
        <f t="shared" si="66"/>
        <v>13158.24</v>
      </c>
      <c r="I46" s="6">
        <f t="shared" si="66"/>
        <v>11696.22</v>
      </c>
      <c r="J46" s="6">
        <f t="shared" si="66"/>
        <v>13158.24</v>
      </c>
      <c r="K46" s="6">
        <f t="shared" ref="K46" si="67">D46+E46+G46+I46</f>
        <v>45779.74</v>
      </c>
      <c r="L46" s="6">
        <f t="shared" ref="L46" si="68">D46+F46+H46+J46</f>
        <v>50165.799999999996</v>
      </c>
    </row>
    <row r="47" spans="1:12" ht="68.25" customHeight="1" x14ac:dyDescent="0.25">
      <c r="A47" s="4"/>
      <c r="B47" s="31" t="s">
        <v>25</v>
      </c>
      <c r="C47" s="32"/>
      <c r="D47" s="4"/>
      <c r="E47" s="4"/>
      <c r="F47" s="4"/>
      <c r="G47" s="4"/>
      <c r="H47" s="4"/>
      <c r="I47" s="4"/>
      <c r="J47" s="4"/>
      <c r="K47" s="4"/>
      <c r="L47" s="4"/>
    </row>
    <row r="48" spans="1:12" x14ac:dyDescent="0.25">
      <c r="A48" s="4"/>
      <c r="B48" s="4"/>
      <c r="C48" s="18" t="s">
        <v>12</v>
      </c>
      <c r="D48" s="6">
        <f>D24+D42+D44+D46+D40</f>
        <v>656759.60000000009</v>
      </c>
      <c r="E48" s="6">
        <f t="shared" ref="E48:J48" si="69">E24+E42+E44+E46+E40</f>
        <v>702794.92</v>
      </c>
      <c r="F48" s="6">
        <f t="shared" si="69"/>
        <v>769755.57</v>
      </c>
      <c r="G48" s="6">
        <f t="shared" si="69"/>
        <v>702794.92</v>
      </c>
      <c r="H48" s="6">
        <f t="shared" si="69"/>
        <v>769755.57</v>
      </c>
      <c r="I48" s="6">
        <f t="shared" si="69"/>
        <v>702794.92</v>
      </c>
      <c r="J48" s="6">
        <f t="shared" si="69"/>
        <v>769755.57</v>
      </c>
      <c r="K48" s="6">
        <f t="shared" ref="K48" si="70">D48+E48+G48+I48</f>
        <v>2765144.36</v>
      </c>
      <c r="L48" s="6">
        <f t="shared" ref="L48" si="71">D48+F48+H48+J48</f>
        <v>2966026.3099999996</v>
      </c>
    </row>
    <row r="49" spans="1:12" ht="15.75" customHeight="1" x14ac:dyDescent="0.25">
      <c r="A49" s="4"/>
      <c r="B49" s="31" t="s">
        <v>37</v>
      </c>
      <c r="C49" s="32"/>
      <c r="D49" s="26">
        <v>25</v>
      </c>
      <c r="E49" s="26">
        <v>25</v>
      </c>
      <c r="F49" s="26">
        <v>25</v>
      </c>
      <c r="G49" s="26">
        <v>25</v>
      </c>
      <c r="H49" s="26">
        <v>25</v>
      </c>
      <c r="I49" s="26">
        <v>25</v>
      </c>
      <c r="J49" s="26">
        <v>25</v>
      </c>
      <c r="K49" s="26">
        <v>25</v>
      </c>
      <c r="L49" s="26">
        <v>25</v>
      </c>
    </row>
    <row r="50" spans="1:12" ht="42" customHeight="1" x14ac:dyDescent="0.25">
      <c r="A50" s="4"/>
      <c r="B50" s="31" t="s">
        <v>38</v>
      </c>
      <c r="C50" s="32"/>
      <c r="D50" s="5">
        <f>ROUND(D48/25,0)</f>
        <v>26270</v>
      </c>
      <c r="E50" s="5">
        <f t="shared" ref="E50:J50" si="72">ROUND(E48/25,0)</f>
        <v>28112</v>
      </c>
      <c r="F50" s="5">
        <f t="shared" si="72"/>
        <v>30790</v>
      </c>
      <c r="G50" s="5">
        <f t="shared" si="72"/>
        <v>28112</v>
      </c>
      <c r="H50" s="5">
        <f t="shared" si="72"/>
        <v>30790</v>
      </c>
      <c r="I50" s="5">
        <f t="shared" si="72"/>
        <v>28112</v>
      </c>
      <c r="J50" s="5">
        <f t="shared" si="72"/>
        <v>30790</v>
      </c>
      <c r="K50" s="5">
        <f>ROUND((D50+E50+G50+I50)/4,0)</f>
        <v>27652</v>
      </c>
      <c r="L50" s="5">
        <f>ROUND((D50+F50+H50+J50)/4,0)</f>
        <v>29660</v>
      </c>
    </row>
    <row r="51" spans="1:12" ht="66" customHeight="1" x14ac:dyDescent="0.25">
      <c r="A51" s="4"/>
      <c r="B51" s="31" t="s">
        <v>39</v>
      </c>
      <c r="C51" s="32"/>
      <c r="D51" s="5"/>
      <c r="E51" s="5"/>
      <c r="F51" s="5"/>
      <c r="G51" s="5"/>
      <c r="H51" s="5"/>
      <c r="I51" s="5"/>
      <c r="J51" s="5"/>
      <c r="K51" s="5">
        <v>8544</v>
      </c>
      <c r="L51" s="5">
        <v>8544</v>
      </c>
    </row>
    <row r="52" spans="1:12" ht="123.75" customHeight="1" x14ac:dyDescent="0.25">
      <c r="A52" s="4"/>
      <c r="B52" s="37" t="s">
        <v>40</v>
      </c>
      <c r="C52" s="38"/>
      <c r="D52" s="5"/>
      <c r="E52" s="5"/>
      <c r="F52" s="5"/>
      <c r="G52" s="5"/>
      <c r="H52" s="5"/>
      <c r="I52" s="5"/>
      <c r="J52" s="5"/>
      <c r="K52" s="5">
        <v>24878</v>
      </c>
      <c r="L52" s="5">
        <v>24878</v>
      </c>
    </row>
    <row r="53" spans="1:12" s="27" customFormat="1" ht="72" customHeight="1" x14ac:dyDescent="0.25">
      <c r="A53" s="4"/>
      <c r="B53" s="31" t="s">
        <v>41</v>
      </c>
      <c r="C53" s="32"/>
      <c r="D53" s="39" t="s">
        <v>51</v>
      </c>
      <c r="E53" s="40"/>
      <c r="F53" s="40"/>
      <c r="G53" s="40"/>
      <c r="H53" s="40"/>
      <c r="I53" s="40"/>
      <c r="J53" s="41"/>
      <c r="K53" s="5">
        <v>7051</v>
      </c>
      <c r="L53" s="5">
        <v>7051</v>
      </c>
    </row>
    <row r="54" spans="1:12" s="27" customFormat="1" ht="62.25" customHeight="1" x14ac:dyDescent="0.25">
      <c r="A54" s="4"/>
      <c r="B54" s="31" t="s">
        <v>42</v>
      </c>
      <c r="C54" s="32"/>
      <c r="D54" s="4"/>
      <c r="E54" s="4"/>
      <c r="F54" s="4"/>
      <c r="G54" s="4"/>
      <c r="H54" s="4"/>
      <c r="I54" s="4"/>
      <c r="J54" s="4"/>
      <c r="K54" s="5">
        <f>K52+K53</f>
        <v>31929</v>
      </c>
      <c r="L54" s="5">
        <f>L52+L53</f>
        <v>31929</v>
      </c>
    </row>
    <row r="55" spans="1:12" s="27" customFormat="1" x14ac:dyDescent="0.25">
      <c r="B55" s="28"/>
    </row>
    <row r="56" spans="1:12" s="27" customFormat="1" x14ac:dyDescent="0.25"/>
    <row r="57" spans="1:12" s="27" customFormat="1" x14ac:dyDescent="0.25"/>
    <row r="58" spans="1:12" x14ac:dyDescent="0.25">
      <c r="E58" s="29"/>
      <c r="F58" s="29"/>
      <c r="G58" s="29"/>
      <c r="H58" s="29"/>
      <c r="I58" s="29"/>
      <c r="J58" s="29"/>
    </row>
  </sheetData>
  <mergeCells count="22">
    <mergeCell ref="B53:C53"/>
    <mergeCell ref="I6:J6"/>
    <mergeCell ref="B49:C49"/>
    <mergeCell ref="B50:C50"/>
    <mergeCell ref="B51:C51"/>
    <mergeCell ref="B52:C52"/>
    <mergeCell ref="K6:L6"/>
    <mergeCell ref="B54:C54"/>
    <mergeCell ref="D53:J53"/>
    <mergeCell ref="K2:L2"/>
    <mergeCell ref="A3:L3"/>
    <mergeCell ref="B8:C8"/>
    <mergeCell ref="B41:C41"/>
    <mergeCell ref="B43:C43"/>
    <mergeCell ref="B45:C45"/>
    <mergeCell ref="B47:C47"/>
    <mergeCell ref="A5:A7"/>
    <mergeCell ref="B5:B7"/>
    <mergeCell ref="C5:C7"/>
    <mergeCell ref="D5:L5"/>
    <mergeCell ref="E6:F6"/>
    <mergeCell ref="G6:H6"/>
  </mergeCells>
  <printOptions horizontalCentered="1"/>
  <pageMargins left="0.39370078740157483" right="0.19685039370078741" top="0.74803149606299213" bottom="0.55118110236220474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5-6 дневная  неделя</vt:lpstr>
      <vt:lpstr>5-6 дневная с селом</vt:lpstr>
      <vt:lpstr>'5-6 дневная  неделя'!Заголовки_для_печати</vt:lpstr>
      <vt:lpstr>'5-6 дневная с селом'!Заголовки_для_печати</vt:lpstr>
      <vt:lpstr>'5-6 дневная  неделя'!Область_печати</vt:lpstr>
      <vt:lpstr>'5-6 дневная с селом'!Область_печати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2018-07-09T08:22:58Z</dcterms:modified>
</cp:coreProperties>
</file>