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225" windowWidth="15120" windowHeight="7890"/>
  </bookViews>
  <sheets>
    <sheet name="Село" sheetId="7" r:id="rId1"/>
    <sheet name="Город" sheetId="9" r:id="rId2"/>
  </sheets>
  <definedNames>
    <definedName name="_xlnm.Print_Titles" localSheetId="1">Город!$A:$C,Город!$3:$5</definedName>
    <definedName name="_xlnm.Print_Titles" localSheetId="0">Село!$A:$C,Село!$3:$5</definedName>
    <definedName name="_xlnm.Print_Area" localSheetId="1">Город!$A$1:$Q$103</definedName>
    <definedName name="_xlnm.Print_Area" localSheetId="0">Село!$A$1:$Q$107</definedName>
  </definedNames>
  <calcPr calcId="145621" calcOnSave="0"/>
</workbook>
</file>

<file path=xl/calcChain.xml><?xml version="1.0" encoding="utf-8"?>
<calcChain xmlns="http://schemas.openxmlformats.org/spreadsheetml/2006/main">
  <c r="Q55" i="9" l="1"/>
  <c r="Q54" i="9" l="1"/>
  <c r="E84" i="7" l="1"/>
  <c r="G71" i="7"/>
  <c r="I71" i="7"/>
  <c r="K71" i="7"/>
  <c r="M71" i="7"/>
  <c r="O71" i="7"/>
  <c r="Q71" i="7"/>
  <c r="E71" i="7"/>
  <c r="Q58" i="7"/>
  <c r="K58" i="7"/>
  <c r="G45" i="7"/>
  <c r="I45" i="7"/>
  <c r="K45" i="7"/>
  <c r="M45" i="7"/>
  <c r="O45" i="7"/>
  <c r="Q45" i="7"/>
  <c r="E45" i="7"/>
  <c r="G32" i="7"/>
  <c r="I32" i="7"/>
  <c r="K32" i="7"/>
  <c r="M32" i="7"/>
  <c r="O32" i="7"/>
  <c r="Q32" i="7"/>
  <c r="E32" i="7"/>
  <c r="E19" i="7"/>
  <c r="G70" i="7"/>
  <c r="I70" i="7"/>
  <c r="K70" i="7"/>
  <c r="M70" i="7"/>
  <c r="O70" i="7"/>
  <c r="Q70" i="7"/>
  <c r="E70" i="7"/>
  <c r="Q57" i="7"/>
  <c r="K57" i="7"/>
  <c r="G44" i="7"/>
  <c r="I44" i="7"/>
  <c r="K44" i="7"/>
  <c r="M44" i="7"/>
  <c r="O44" i="7"/>
  <c r="Q44" i="7"/>
  <c r="E44" i="7"/>
  <c r="G31" i="7"/>
  <c r="I31" i="7"/>
  <c r="K31" i="7"/>
  <c r="M31" i="7"/>
  <c r="O31" i="7"/>
  <c r="Q31" i="7"/>
  <c r="E31" i="7"/>
  <c r="E88" i="9"/>
  <c r="E77" i="9"/>
  <c r="Q67" i="9"/>
  <c r="K67" i="9"/>
  <c r="G66" i="9"/>
  <c r="I66" i="9"/>
  <c r="K66" i="9"/>
  <c r="M66" i="9"/>
  <c r="O66" i="9"/>
  <c r="Q66" i="9"/>
  <c r="G67" i="9"/>
  <c r="I67" i="9"/>
  <c r="M67" i="9"/>
  <c r="O67" i="9"/>
  <c r="E67" i="9"/>
  <c r="K55" i="9"/>
  <c r="G31" i="9"/>
  <c r="K31" i="9"/>
  <c r="M31" i="9"/>
  <c r="O31" i="9"/>
  <c r="Q31" i="9"/>
  <c r="I31" i="9"/>
  <c r="E43" i="9"/>
  <c r="E42" i="9"/>
  <c r="E31" i="9"/>
  <c r="E29" i="9"/>
  <c r="E16" i="9"/>
  <c r="E18" i="9"/>
  <c r="K54" i="9"/>
  <c r="G29" i="9" l="1"/>
  <c r="I29" i="9"/>
  <c r="K29" i="9"/>
  <c r="M29" i="9"/>
  <c r="O29" i="9"/>
  <c r="Q29" i="9"/>
  <c r="G42" i="9"/>
  <c r="G43" i="9" s="1"/>
  <c r="I42" i="9"/>
  <c r="K42" i="9"/>
  <c r="M42" i="9"/>
  <c r="O42" i="9"/>
  <c r="Q42" i="9"/>
  <c r="I43" i="9"/>
  <c r="K43" i="9"/>
  <c r="M43" i="9"/>
  <c r="O43" i="9"/>
  <c r="Q43" i="9"/>
  <c r="E82" i="9"/>
  <c r="E69" i="9"/>
  <c r="E73" i="9" s="1"/>
  <c r="E68" i="9"/>
  <c r="E63" i="9"/>
  <c r="E58" i="9"/>
  <c r="E57" i="9"/>
  <c r="E44" i="9"/>
  <c r="E39" i="9"/>
  <c r="E34" i="9"/>
  <c r="E33" i="9"/>
  <c r="E20" i="9"/>
  <c r="G88" i="9"/>
  <c r="I88" i="9"/>
  <c r="K88" i="9"/>
  <c r="M88" i="9"/>
  <c r="O88" i="9"/>
  <c r="Q88" i="9"/>
  <c r="E15" i="9"/>
  <c r="E6" i="9"/>
  <c r="E71" i="9" l="1"/>
  <c r="E84" i="9"/>
  <c r="E72" i="9"/>
  <c r="E83" i="9"/>
  <c r="E61" i="9"/>
  <c r="E60" i="9"/>
  <c r="E65" i="9" s="1"/>
  <c r="E62" i="9"/>
  <c r="E64" i="9" s="1"/>
  <c r="E37" i="9"/>
  <c r="E36" i="9"/>
  <c r="E41" i="9" s="1"/>
  <c r="E38" i="9"/>
  <c r="E40" i="9"/>
  <c r="E21" i="9"/>
  <c r="E26" i="9"/>
  <c r="E25" i="9"/>
  <c r="E11" i="9"/>
  <c r="E7" i="9"/>
  <c r="E12" i="9"/>
  <c r="E85" i="9" l="1"/>
  <c r="E87" i="9" s="1"/>
  <c r="E89" i="9" s="1"/>
  <c r="E86" i="9"/>
  <c r="E75" i="9"/>
  <c r="E74" i="9"/>
  <c r="E76" i="9" s="1"/>
  <c r="E66" i="9"/>
  <c r="E23" i="9"/>
  <c r="E27" i="9" s="1"/>
  <c r="E24" i="9"/>
  <c r="E9" i="9"/>
  <c r="E10" i="9"/>
  <c r="E14" i="9" s="1"/>
  <c r="E91" i="9" l="1"/>
  <c r="E92" i="9" s="1"/>
  <c r="E78" i="9"/>
  <c r="E28" i="9"/>
  <c r="E32" i="9" s="1"/>
  <c r="E13" i="9"/>
  <c r="E80" i="9" l="1"/>
  <c r="E81" i="9" s="1"/>
  <c r="E19" i="9"/>
  <c r="E94" i="9" l="1"/>
  <c r="E96" i="9"/>
  <c r="E98" i="9"/>
  <c r="I77" i="9"/>
  <c r="K77" i="9"/>
  <c r="M77" i="9"/>
  <c r="O77" i="9"/>
  <c r="Q77" i="9"/>
  <c r="G77" i="9"/>
  <c r="G92" i="7"/>
  <c r="I92" i="7"/>
  <c r="K92" i="7"/>
  <c r="M92" i="7"/>
  <c r="O92" i="7"/>
  <c r="Q92" i="7"/>
  <c r="E92" i="7"/>
  <c r="G81" i="7"/>
  <c r="I81" i="7"/>
  <c r="K81" i="7"/>
  <c r="M81" i="7"/>
  <c r="O81" i="7"/>
  <c r="Q81" i="7"/>
  <c r="E81" i="7"/>
  <c r="E99" i="9" l="1"/>
  <c r="E101" i="9" s="1"/>
  <c r="E103" i="9" s="1"/>
  <c r="Q50" i="9"/>
  <c r="K50" i="9"/>
  <c r="K53" i="7"/>
  <c r="Q54" i="7" l="1"/>
  <c r="I15" i="9" l="1"/>
  <c r="K15" i="9"/>
  <c r="M15" i="9"/>
  <c r="O15" i="9"/>
  <c r="Q15" i="9"/>
  <c r="Q82" i="9"/>
  <c r="O82" i="9"/>
  <c r="M82" i="9"/>
  <c r="K82" i="9"/>
  <c r="I82" i="9"/>
  <c r="G82" i="9"/>
  <c r="Q69" i="9"/>
  <c r="O69" i="9"/>
  <c r="M69" i="9"/>
  <c r="K69" i="9"/>
  <c r="I69" i="9"/>
  <c r="G69" i="9"/>
  <c r="Q57" i="9"/>
  <c r="Q62" i="9" s="1"/>
  <c r="O57" i="9"/>
  <c r="O62" i="9" s="1"/>
  <c r="M57" i="9"/>
  <c r="M62" i="9" s="1"/>
  <c r="K57" i="9"/>
  <c r="K62" i="9" s="1"/>
  <c r="I57" i="9"/>
  <c r="I62" i="9" s="1"/>
  <c r="G57" i="9"/>
  <c r="G62" i="9" s="1"/>
  <c r="Q51" i="9"/>
  <c r="K51" i="9"/>
  <c r="Q46" i="9"/>
  <c r="K46" i="9"/>
  <c r="Q33" i="9"/>
  <c r="Q38" i="9" s="1"/>
  <c r="O33" i="9"/>
  <c r="M33" i="9"/>
  <c r="M38" i="9" s="1"/>
  <c r="K33" i="9"/>
  <c r="I33" i="9"/>
  <c r="I38" i="9" s="1"/>
  <c r="G33" i="9"/>
  <c r="Q20" i="9"/>
  <c r="Q25" i="9" s="1"/>
  <c r="O20" i="9"/>
  <c r="O25" i="9" s="1"/>
  <c r="M20" i="9"/>
  <c r="M25" i="9" s="1"/>
  <c r="K20" i="9"/>
  <c r="K25" i="9" s="1"/>
  <c r="I20" i="9"/>
  <c r="I25" i="9" s="1"/>
  <c r="G20" i="9"/>
  <c r="G25" i="9" s="1"/>
  <c r="G15" i="9"/>
  <c r="Q6" i="9"/>
  <c r="Q11" i="9" s="1"/>
  <c r="O6" i="9"/>
  <c r="O11" i="9" s="1"/>
  <c r="M6" i="9"/>
  <c r="M11" i="9" s="1"/>
  <c r="K6" i="9"/>
  <c r="K11" i="9" s="1"/>
  <c r="I6" i="9"/>
  <c r="I11" i="9" s="1"/>
  <c r="G6" i="9"/>
  <c r="G11" i="9" s="1"/>
  <c r="G34" i="9" l="1"/>
  <c r="G36" i="9" s="1"/>
  <c r="G38" i="9"/>
  <c r="K39" i="9"/>
  <c r="K38" i="9"/>
  <c r="O34" i="9"/>
  <c r="O36" i="9" s="1"/>
  <c r="O38" i="9"/>
  <c r="K71" i="9"/>
  <c r="O71" i="9"/>
  <c r="Q39" i="9"/>
  <c r="M39" i="9"/>
  <c r="I39" i="9"/>
  <c r="O39" i="9"/>
  <c r="I7" i="9"/>
  <c r="I10" i="9" s="1"/>
  <c r="M7" i="9"/>
  <c r="Q7" i="9"/>
  <c r="Q8" i="9" s="1"/>
  <c r="G12" i="9"/>
  <c r="K12" i="9"/>
  <c r="O12" i="9"/>
  <c r="G21" i="9"/>
  <c r="G24" i="9" s="1"/>
  <c r="K21" i="9"/>
  <c r="O21" i="9"/>
  <c r="O24" i="9" s="1"/>
  <c r="K22" i="9"/>
  <c r="I26" i="9"/>
  <c r="M26" i="9"/>
  <c r="Q26" i="9"/>
  <c r="K34" i="9"/>
  <c r="K35" i="9" s="1"/>
  <c r="G7" i="9"/>
  <c r="G9" i="9" s="1"/>
  <c r="K7" i="9"/>
  <c r="O7" i="9"/>
  <c r="O9" i="9" s="1"/>
  <c r="K8" i="9"/>
  <c r="I9" i="9"/>
  <c r="M9" i="9"/>
  <c r="Q9" i="9"/>
  <c r="M10" i="9"/>
  <c r="I12" i="9"/>
  <c r="M12" i="9"/>
  <c r="Q12" i="9"/>
  <c r="I21" i="9"/>
  <c r="M21" i="9"/>
  <c r="M24" i="9" s="1"/>
  <c r="Q21" i="9"/>
  <c r="Q22" i="9" s="1"/>
  <c r="G23" i="9"/>
  <c r="K23" i="9"/>
  <c r="O23" i="9"/>
  <c r="K24" i="9"/>
  <c r="G26" i="9"/>
  <c r="K26" i="9"/>
  <c r="O26" i="9"/>
  <c r="G39" i="9"/>
  <c r="G37" i="9"/>
  <c r="K37" i="9"/>
  <c r="K36" i="9"/>
  <c r="I34" i="9"/>
  <c r="M34" i="9"/>
  <c r="Q34" i="9"/>
  <c r="Q47" i="9"/>
  <c r="Q48" i="9"/>
  <c r="Q49" i="9"/>
  <c r="I58" i="9"/>
  <c r="I60" i="9" s="1"/>
  <c r="M58" i="9"/>
  <c r="Q58" i="9"/>
  <c r="Q60" i="9" s="1"/>
  <c r="G63" i="9"/>
  <c r="K63" i="9"/>
  <c r="O63" i="9"/>
  <c r="K47" i="9"/>
  <c r="K48" i="9"/>
  <c r="K49" i="9"/>
  <c r="G58" i="9"/>
  <c r="K58" i="9"/>
  <c r="K61" i="9" s="1"/>
  <c r="O58" i="9"/>
  <c r="M60" i="9"/>
  <c r="M61" i="9"/>
  <c r="I63" i="9"/>
  <c r="M63" i="9"/>
  <c r="Q63" i="9"/>
  <c r="K70" i="9"/>
  <c r="I71" i="9"/>
  <c r="M71" i="9"/>
  <c r="Q71" i="9"/>
  <c r="G72" i="9"/>
  <c r="K72" i="9"/>
  <c r="O72" i="9"/>
  <c r="K73" i="9"/>
  <c r="O73" i="9"/>
  <c r="O75" i="9" s="1"/>
  <c r="I83" i="9"/>
  <c r="M83" i="9"/>
  <c r="Q83" i="9"/>
  <c r="G84" i="9"/>
  <c r="K84" i="9"/>
  <c r="O84" i="9"/>
  <c r="Q70" i="9"/>
  <c r="G71" i="9"/>
  <c r="I72" i="9"/>
  <c r="M72" i="9"/>
  <c r="Q72" i="9"/>
  <c r="G73" i="9"/>
  <c r="I73" i="9"/>
  <c r="M73" i="9"/>
  <c r="Q73" i="9"/>
  <c r="G74" i="9"/>
  <c r="I74" i="9"/>
  <c r="M74" i="9"/>
  <c r="Q74" i="9"/>
  <c r="G75" i="9"/>
  <c r="I75" i="9"/>
  <c r="M75" i="9"/>
  <c r="Q75" i="9"/>
  <c r="G83" i="9"/>
  <c r="K83" i="9"/>
  <c r="O83" i="9"/>
  <c r="O85" i="9" s="1"/>
  <c r="I84" i="9"/>
  <c r="M84" i="9"/>
  <c r="M85" i="9" s="1"/>
  <c r="Q84" i="9"/>
  <c r="Q86" i="9" s="1"/>
  <c r="G85" i="9"/>
  <c r="I86" i="9"/>
  <c r="Q86" i="7"/>
  <c r="O86" i="7"/>
  <c r="M86" i="7"/>
  <c r="K86" i="7"/>
  <c r="I86" i="7"/>
  <c r="G86" i="7"/>
  <c r="E86" i="7"/>
  <c r="H77" i="7"/>
  <c r="Q73" i="7"/>
  <c r="O73" i="7"/>
  <c r="M73" i="7"/>
  <c r="K73" i="7"/>
  <c r="I73" i="7"/>
  <c r="G73" i="7"/>
  <c r="E73" i="7"/>
  <c r="E60" i="7"/>
  <c r="E66" i="7" s="1"/>
  <c r="O37" i="9" l="1"/>
  <c r="K77" i="7"/>
  <c r="O77" i="7"/>
  <c r="G87" i="7"/>
  <c r="K87" i="7"/>
  <c r="O87" i="7"/>
  <c r="I77" i="7"/>
  <c r="M77" i="7"/>
  <c r="Q77" i="7"/>
  <c r="I87" i="7"/>
  <c r="M87" i="7"/>
  <c r="Q87" i="7"/>
  <c r="Q61" i="9"/>
  <c r="Q64" i="9" s="1"/>
  <c r="I61" i="9"/>
  <c r="K59" i="9"/>
  <c r="G87" i="9"/>
  <c r="G76" i="9"/>
  <c r="G78" i="9" s="1"/>
  <c r="M87" i="9"/>
  <c r="M76" i="9"/>
  <c r="M78" i="9" s="1"/>
  <c r="M80" i="9" s="1"/>
  <c r="M81" i="9" s="1"/>
  <c r="Q76" i="9"/>
  <c r="Q78" i="9" s="1"/>
  <c r="Q80" i="9" s="1"/>
  <c r="Q81" i="9" s="1"/>
  <c r="K75" i="9"/>
  <c r="I76" i="9"/>
  <c r="I78" i="9" s="1"/>
  <c r="I80" i="9" s="1"/>
  <c r="I81" i="9" s="1"/>
  <c r="Q10" i="9"/>
  <c r="Q52" i="9"/>
  <c r="O40" i="9"/>
  <c r="G41" i="9"/>
  <c r="M64" i="9"/>
  <c r="M65" i="9"/>
  <c r="I64" i="9"/>
  <c r="I65" i="9"/>
  <c r="O87" i="9"/>
  <c r="K53" i="9"/>
  <c r="Q53" i="9"/>
  <c r="K52" i="9"/>
  <c r="O28" i="9"/>
  <c r="K41" i="9"/>
  <c r="G40" i="9"/>
  <c r="K40" i="9"/>
  <c r="K44" i="9" s="1"/>
  <c r="Q35" i="9"/>
  <c r="O41" i="9"/>
  <c r="M14" i="9"/>
  <c r="K27" i="9"/>
  <c r="K28" i="9"/>
  <c r="I13" i="9"/>
  <c r="G27" i="9"/>
  <c r="O27" i="9"/>
  <c r="G28" i="9"/>
  <c r="I14" i="9"/>
  <c r="I16" i="9" s="1"/>
  <c r="Q14" i="9"/>
  <c r="M13" i="9"/>
  <c r="Q13" i="9"/>
  <c r="Q16" i="9" s="1"/>
  <c r="K74" i="9"/>
  <c r="K76" i="9" s="1"/>
  <c r="O74" i="9"/>
  <c r="O76" i="9" s="1"/>
  <c r="O78" i="9" s="1"/>
  <c r="O80" i="9" s="1"/>
  <c r="O81" i="9" s="1"/>
  <c r="G80" i="9"/>
  <c r="G81" i="9" s="1"/>
  <c r="M86" i="9"/>
  <c r="K85" i="9"/>
  <c r="K87" i="9" s="1"/>
  <c r="K86" i="9"/>
  <c r="Q85" i="9"/>
  <c r="Q87" i="9" s="1"/>
  <c r="I85" i="9"/>
  <c r="I87" i="9" s="1"/>
  <c r="O61" i="9"/>
  <c r="G61" i="9"/>
  <c r="K60" i="9"/>
  <c r="K64" i="9" s="1"/>
  <c r="Q59" i="9"/>
  <c r="Q37" i="9"/>
  <c r="M36" i="9"/>
  <c r="I37" i="9"/>
  <c r="Q24" i="9"/>
  <c r="I24" i="9"/>
  <c r="M23" i="9"/>
  <c r="M27" i="9" s="1"/>
  <c r="O10" i="9"/>
  <c r="O14" i="9" s="1"/>
  <c r="G10" i="9"/>
  <c r="G13" i="9" s="1"/>
  <c r="K9" i="9"/>
  <c r="O86" i="9"/>
  <c r="G86" i="9"/>
  <c r="O60" i="9"/>
  <c r="G60" i="9"/>
  <c r="Q36" i="9"/>
  <c r="M37" i="9"/>
  <c r="I36" i="9"/>
  <c r="Q23" i="9"/>
  <c r="I23" i="9"/>
  <c r="K10" i="9"/>
  <c r="O88" i="7"/>
  <c r="O89" i="7" s="1"/>
  <c r="O91" i="7" s="1"/>
  <c r="K88" i="7"/>
  <c r="G88" i="7"/>
  <c r="G89" i="7" s="1"/>
  <c r="G91" i="7" s="1"/>
  <c r="Q88" i="7"/>
  <c r="Q90" i="7" s="1"/>
  <c r="M88" i="7"/>
  <c r="M89" i="7" s="1"/>
  <c r="M91" i="7" s="1"/>
  <c r="I88" i="7"/>
  <c r="I90" i="7" s="1"/>
  <c r="G77" i="7"/>
  <c r="E67" i="7"/>
  <c r="E77" i="7"/>
  <c r="E87" i="7"/>
  <c r="E88" i="7"/>
  <c r="K54" i="7"/>
  <c r="Q34" i="7"/>
  <c r="O34" i="7"/>
  <c r="M34" i="7"/>
  <c r="K34" i="7"/>
  <c r="I34" i="7"/>
  <c r="G34" i="7"/>
  <c r="E34" i="7"/>
  <c r="E40" i="7" s="1"/>
  <c r="Q21" i="7"/>
  <c r="Q27" i="7" s="1"/>
  <c r="O21" i="7"/>
  <c r="O27" i="7" s="1"/>
  <c r="M21" i="7"/>
  <c r="M27" i="7" s="1"/>
  <c r="K21" i="7"/>
  <c r="K27" i="7" s="1"/>
  <c r="I21" i="7"/>
  <c r="I27" i="7" s="1"/>
  <c r="G21" i="7"/>
  <c r="G27" i="7" s="1"/>
  <c r="E21" i="7"/>
  <c r="E27" i="7" s="1"/>
  <c r="Q16" i="7"/>
  <c r="M16" i="7"/>
  <c r="K16" i="7"/>
  <c r="G16" i="7"/>
  <c r="I16" i="7"/>
  <c r="O16" i="7"/>
  <c r="K90" i="7" l="1"/>
  <c r="Q40" i="9"/>
  <c r="O64" i="9"/>
  <c r="O89" i="9"/>
  <c r="O91" i="9" s="1"/>
  <c r="O92" i="9" s="1"/>
  <c r="K78" i="9"/>
  <c r="K80" i="9" s="1"/>
  <c r="K81" i="9" s="1"/>
  <c r="M16" i="9"/>
  <c r="M18" i="9" s="1"/>
  <c r="M19" i="9" s="1"/>
  <c r="I41" i="7"/>
  <c r="I40" i="7"/>
  <c r="M41" i="7"/>
  <c r="M40" i="7"/>
  <c r="Q41" i="7"/>
  <c r="Q40" i="7"/>
  <c r="G41" i="7"/>
  <c r="G40" i="7"/>
  <c r="K41" i="7"/>
  <c r="K40" i="7"/>
  <c r="O41" i="7"/>
  <c r="O40" i="7"/>
  <c r="G44" i="9"/>
  <c r="G65" i="9"/>
  <c r="G89" i="9"/>
  <c r="K89" i="9"/>
  <c r="M68" i="9"/>
  <c r="O65" i="9"/>
  <c r="O68" i="9" s="1"/>
  <c r="G64" i="9"/>
  <c r="Q65" i="9"/>
  <c r="K65" i="9"/>
  <c r="K68" i="9" s="1"/>
  <c r="I68" i="9"/>
  <c r="Q56" i="9"/>
  <c r="K56" i="9"/>
  <c r="M41" i="9"/>
  <c r="G32" i="9"/>
  <c r="O44" i="9"/>
  <c r="I41" i="9"/>
  <c r="K32" i="9"/>
  <c r="I40" i="9"/>
  <c r="Q41" i="9"/>
  <c r="M40" i="9"/>
  <c r="I18" i="9"/>
  <c r="I19" i="9" s="1"/>
  <c r="M28" i="9"/>
  <c r="Q27" i="9"/>
  <c r="Q28" i="9"/>
  <c r="K14" i="9"/>
  <c r="I27" i="9"/>
  <c r="O32" i="9"/>
  <c r="I28" i="9"/>
  <c r="G14" i="9"/>
  <c r="G16" i="9" s="1"/>
  <c r="G18" i="9" s="1"/>
  <c r="Q18" i="9"/>
  <c r="Q19" i="9" s="1"/>
  <c r="O13" i="9"/>
  <c r="K13" i="9"/>
  <c r="Q89" i="9"/>
  <c r="Q91" i="9" s="1"/>
  <c r="Q92" i="9" s="1"/>
  <c r="G91" i="9"/>
  <c r="G92" i="9" s="1"/>
  <c r="K91" i="9"/>
  <c r="K92" i="9" s="1"/>
  <c r="M89" i="9"/>
  <c r="M91" i="9" s="1"/>
  <c r="M92" i="9" s="1"/>
  <c r="I89" i="9"/>
  <c r="I91" i="9" s="1"/>
  <c r="I92" i="9" s="1"/>
  <c r="I89" i="7"/>
  <c r="I91" i="7" s="1"/>
  <c r="Q89" i="7"/>
  <c r="Q91" i="7" s="1"/>
  <c r="M90" i="7"/>
  <c r="K89" i="7"/>
  <c r="K91" i="7" s="1"/>
  <c r="G90" i="7"/>
  <c r="O90" i="7"/>
  <c r="E89" i="7"/>
  <c r="E90" i="7"/>
  <c r="E41" i="7"/>
  <c r="Q28" i="7"/>
  <c r="M28" i="7"/>
  <c r="I28" i="7"/>
  <c r="E28" i="7"/>
  <c r="O28" i="7"/>
  <c r="K28" i="7"/>
  <c r="G28" i="7"/>
  <c r="E16" i="7"/>
  <c r="Q6" i="7"/>
  <c r="Q12" i="7" s="1"/>
  <c r="O6" i="7"/>
  <c r="O12" i="7" s="1"/>
  <c r="M6" i="7"/>
  <c r="M12" i="7" s="1"/>
  <c r="K6" i="7"/>
  <c r="I6" i="7"/>
  <c r="I12" i="7" s="1"/>
  <c r="G6" i="7"/>
  <c r="G12" i="7" s="1"/>
  <c r="E6" i="7"/>
  <c r="K12" i="7" l="1"/>
  <c r="E91" i="7"/>
  <c r="E93" i="7" s="1"/>
  <c r="E95" i="7" s="1"/>
  <c r="E96" i="7" s="1"/>
  <c r="E13" i="7"/>
  <c r="E12" i="7"/>
  <c r="K16" i="9"/>
  <c r="K18" i="9" s="1"/>
  <c r="K19" i="9" s="1"/>
  <c r="Q68" i="9"/>
  <c r="M44" i="9"/>
  <c r="Q44" i="9"/>
  <c r="Q32" i="9"/>
  <c r="M32" i="9"/>
  <c r="I44" i="9"/>
  <c r="I32" i="9"/>
  <c r="O16" i="9"/>
  <c r="O18" i="9" s="1"/>
  <c r="O19" i="9" s="1"/>
  <c r="O98" i="9" s="1"/>
  <c r="G68" i="9"/>
  <c r="M96" i="9"/>
  <c r="G19" i="9"/>
  <c r="K93" i="7"/>
  <c r="K95" i="7" s="1"/>
  <c r="K96" i="7" s="1"/>
  <c r="Q93" i="7"/>
  <c r="Q95" i="7" s="1"/>
  <c r="Q96" i="7" s="1"/>
  <c r="O93" i="7"/>
  <c r="O95" i="7" s="1"/>
  <c r="O96" i="7" s="1"/>
  <c r="M93" i="7"/>
  <c r="M95" i="7" s="1"/>
  <c r="M96" i="7" s="1"/>
  <c r="I93" i="7"/>
  <c r="I95" i="7" s="1"/>
  <c r="I96" i="7" s="1"/>
  <c r="G93" i="7"/>
  <c r="G95" i="7" s="1"/>
  <c r="G96" i="7" s="1"/>
  <c r="I13" i="7"/>
  <c r="M13" i="7"/>
  <c r="Q13" i="7"/>
  <c r="G13" i="7"/>
  <c r="K13" i="7"/>
  <c r="O13" i="7"/>
  <c r="I98" i="9" l="1"/>
  <c r="M98" i="9"/>
  <c r="K98" i="9"/>
  <c r="K94" i="9"/>
  <c r="K96" i="9"/>
  <c r="G98" i="9"/>
  <c r="M94" i="9"/>
  <c r="Q98" i="9"/>
  <c r="M99" i="9"/>
  <c r="M101" i="9" s="1"/>
  <c r="M103" i="9" s="1"/>
  <c r="Q96" i="9"/>
  <c r="Q94" i="9"/>
  <c r="O96" i="9"/>
  <c r="O94" i="9"/>
  <c r="G96" i="9"/>
  <c r="G94" i="9"/>
  <c r="I94" i="9"/>
  <c r="I96" i="9"/>
  <c r="Q53" i="7"/>
  <c r="K99" i="9" l="1"/>
  <c r="K101" i="9" s="1"/>
  <c r="K103" i="9" s="1"/>
  <c r="Q99" i="9"/>
  <c r="Q101" i="9" s="1"/>
  <c r="Q103" i="9" s="1"/>
  <c r="O99" i="9"/>
  <c r="O101" i="9" s="1"/>
  <c r="O103" i="9" s="1"/>
  <c r="I99" i="9"/>
  <c r="I101" i="9" s="1"/>
  <c r="I103" i="9" s="1"/>
  <c r="G99" i="9"/>
  <c r="G101" i="9" s="1"/>
  <c r="G103" i="9" s="1"/>
  <c r="Q51" i="7"/>
  <c r="K51" i="7"/>
  <c r="Q48" i="7" l="1"/>
  <c r="K48" i="7"/>
  <c r="Q52" i="7" l="1"/>
  <c r="K52" i="7"/>
  <c r="K50" i="7"/>
  <c r="K49" i="7"/>
  <c r="Q49" i="7"/>
  <c r="Q50" i="7"/>
  <c r="Q60" i="7"/>
  <c r="Q66" i="7" s="1"/>
  <c r="O60" i="7"/>
  <c r="O66" i="7" s="1"/>
  <c r="M60" i="7"/>
  <c r="M66" i="7" s="1"/>
  <c r="K60" i="7"/>
  <c r="K66" i="7" s="1"/>
  <c r="I60" i="7"/>
  <c r="I66" i="7" s="1"/>
  <c r="G60" i="7"/>
  <c r="G66" i="7" s="1"/>
  <c r="Q56" i="7" l="1"/>
  <c r="G67" i="7"/>
  <c r="K67" i="7"/>
  <c r="O67" i="7"/>
  <c r="K55" i="7"/>
  <c r="Q55" i="7"/>
  <c r="I67" i="7"/>
  <c r="M67" i="7"/>
  <c r="Q67" i="7"/>
  <c r="K56" i="7"/>
  <c r="G76" i="7"/>
  <c r="K76" i="7"/>
  <c r="O76" i="7"/>
  <c r="E76" i="7"/>
  <c r="I76" i="7"/>
  <c r="M76" i="7"/>
  <c r="Q76" i="7"/>
  <c r="K25" i="7"/>
  <c r="G38" i="7"/>
  <c r="K38" i="7"/>
  <c r="K64" i="7"/>
  <c r="K74" i="7"/>
  <c r="O38" i="7"/>
  <c r="Q25" i="7"/>
  <c r="Q64" i="7"/>
  <c r="I38" i="7"/>
  <c r="M38" i="7"/>
  <c r="Q10" i="7"/>
  <c r="Q38" i="7"/>
  <c r="Q74" i="7"/>
  <c r="Q75" i="7"/>
  <c r="I10" i="7"/>
  <c r="I25" i="7"/>
  <c r="E38" i="7"/>
  <c r="E64" i="7"/>
  <c r="I64" i="7"/>
  <c r="O25" i="7"/>
  <c r="O64" i="7"/>
  <c r="E25" i="7"/>
  <c r="G10" i="7"/>
  <c r="G25" i="7"/>
  <c r="G64" i="7"/>
  <c r="M25" i="7"/>
  <c r="M64" i="7"/>
  <c r="O10" i="7"/>
  <c r="E10" i="7"/>
  <c r="M10" i="7"/>
  <c r="K10" i="7"/>
  <c r="Q7" i="7"/>
  <c r="Q22" i="7"/>
  <c r="Q35" i="7"/>
  <c r="Q61" i="7"/>
  <c r="Q63" i="7" s="1"/>
  <c r="O7" i="7"/>
  <c r="O22" i="7"/>
  <c r="O35" i="7"/>
  <c r="O61" i="7"/>
  <c r="O63" i="7" s="1"/>
  <c r="O75" i="7"/>
  <c r="M7" i="7"/>
  <c r="M22" i="7"/>
  <c r="M35" i="7"/>
  <c r="M61" i="7"/>
  <c r="M63" i="7" s="1"/>
  <c r="M75" i="7"/>
  <c r="E7" i="7"/>
  <c r="I7" i="7"/>
  <c r="E9" i="7"/>
  <c r="I9" i="7"/>
  <c r="E22" i="7"/>
  <c r="I22" i="7"/>
  <c r="E24" i="7"/>
  <c r="I24" i="7"/>
  <c r="E35" i="7"/>
  <c r="I35" i="7"/>
  <c r="E37" i="7"/>
  <c r="G61" i="7"/>
  <c r="K61" i="7"/>
  <c r="K62" i="7" s="1"/>
  <c r="G63" i="7"/>
  <c r="G75" i="7"/>
  <c r="K75" i="7"/>
  <c r="G7" i="7"/>
  <c r="K7" i="7"/>
  <c r="G22" i="7"/>
  <c r="K22" i="7"/>
  <c r="G24" i="7"/>
  <c r="G35" i="7"/>
  <c r="K35" i="7"/>
  <c r="E61" i="7"/>
  <c r="I61" i="7"/>
  <c r="E63" i="7"/>
  <c r="I63" i="7"/>
  <c r="E75" i="7"/>
  <c r="I75" i="7"/>
  <c r="K9" i="7" l="1"/>
  <c r="Q59" i="7"/>
  <c r="I78" i="7"/>
  <c r="I80" i="7" s="1"/>
  <c r="I79" i="7"/>
  <c r="E79" i="7"/>
  <c r="E78" i="7"/>
  <c r="E80" i="7" s="1"/>
  <c r="G78" i="7"/>
  <c r="G80" i="7" s="1"/>
  <c r="G79" i="7"/>
  <c r="O79" i="7"/>
  <c r="O78" i="7"/>
  <c r="O80" i="7" s="1"/>
  <c r="K79" i="7"/>
  <c r="K78" i="7"/>
  <c r="K80" i="7" s="1"/>
  <c r="K59" i="7"/>
  <c r="M78" i="7"/>
  <c r="M80" i="7" s="1"/>
  <c r="M79" i="7"/>
  <c r="Q78" i="7"/>
  <c r="Q80" i="7" s="1"/>
  <c r="Q79" i="7"/>
  <c r="G37" i="7"/>
  <c r="K37" i="7"/>
  <c r="I37" i="7"/>
  <c r="G9" i="7"/>
  <c r="M9" i="7"/>
  <c r="Q24" i="7"/>
  <c r="G26" i="7"/>
  <c r="G29" i="7" s="1"/>
  <c r="O9" i="7"/>
  <c r="Q9" i="7"/>
  <c r="Q39" i="7"/>
  <c r="O65" i="7"/>
  <c r="O68" i="7" s="1"/>
  <c r="O26" i="7"/>
  <c r="M11" i="7"/>
  <c r="I65" i="7"/>
  <c r="E65" i="7"/>
  <c r="I39" i="7"/>
  <c r="Q26" i="7"/>
  <c r="O39" i="7"/>
  <c r="G65" i="7"/>
  <c r="G69" i="7" s="1"/>
  <c r="K39" i="7"/>
  <c r="K26" i="7"/>
  <c r="G11" i="7"/>
  <c r="G15" i="7" s="1"/>
  <c r="Q11" i="7"/>
  <c r="M39" i="7"/>
  <c r="E39" i="7"/>
  <c r="I26" i="7"/>
  <c r="E26" i="7"/>
  <c r="E29" i="7" s="1"/>
  <c r="I11" i="7"/>
  <c r="E11" i="7"/>
  <c r="Q65" i="7"/>
  <c r="Q68" i="7" s="1"/>
  <c r="O11" i="7"/>
  <c r="M65" i="7"/>
  <c r="M68" i="7" s="1"/>
  <c r="M26" i="7"/>
  <c r="K65" i="7"/>
  <c r="G39" i="7"/>
  <c r="K11" i="7"/>
  <c r="Q36" i="7"/>
  <c r="Q37" i="7"/>
  <c r="Q23" i="7"/>
  <c r="K63" i="7"/>
  <c r="K36" i="7"/>
  <c r="K23" i="7"/>
  <c r="K24" i="7"/>
  <c r="Q8" i="7"/>
  <c r="Q14" i="7" s="1"/>
  <c r="Q62" i="7"/>
  <c r="K8" i="7"/>
  <c r="K15" i="7" s="1"/>
  <c r="O37" i="7"/>
  <c r="O24" i="7"/>
  <c r="M37" i="7"/>
  <c r="M24" i="7"/>
  <c r="M30" i="7" s="1"/>
  <c r="I43" i="7" l="1"/>
  <c r="O29" i="7"/>
  <c r="K42" i="7"/>
  <c r="K82" i="7"/>
  <c r="K84" i="7" s="1"/>
  <c r="K14" i="7"/>
  <c r="K17" i="7" s="1"/>
  <c r="K19" i="7" s="1"/>
  <c r="K20" i="7" s="1"/>
  <c r="O82" i="7"/>
  <c r="O84" i="7" s="1"/>
  <c r="E82" i="7"/>
  <c r="M43" i="7"/>
  <c r="O43" i="7"/>
  <c r="Q69" i="7"/>
  <c r="K68" i="7"/>
  <c r="G43" i="7"/>
  <c r="G30" i="7"/>
  <c r="G33" i="7" s="1"/>
  <c r="Q82" i="7"/>
  <c r="Q84" i="7" s="1"/>
  <c r="I68" i="7"/>
  <c r="G68" i="7"/>
  <c r="K69" i="7"/>
  <c r="I69" i="7"/>
  <c r="E69" i="7"/>
  <c r="Q42" i="7"/>
  <c r="O69" i="7"/>
  <c r="M69" i="7"/>
  <c r="M82" i="7"/>
  <c r="M84" i="7" s="1"/>
  <c r="G82" i="7"/>
  <c r="G84" i="7" s="1"/>
  <c r="G85" i="7" s="1"/>
  <c r="E68" i="7"/>
  <c r="I82" i="7"/>
  <c r="I84" i="7" s="1"/>
  <c r="I42" i="7"/>
  <c r="I46" i="7" s="1"/>
  <c r="G42" i="7"/>
  <c r="G14" i="7"/>
  <c r="G17" i="7" s="1"/>
  <c r="G19" i="7" s="1"/>
  <c r="M42" i="7"/>
  <c r="K43" i="7"/>
  <c r="Q43" i="7"/>
  <c r="O42" i="7"/>
  <c r="E42" i="7"/>
  <c r="O14" i="7"/>
  <c r="M14" i="7"/>
  <c r="E43" i="7"/>
  <c r="Q15" i="7"/>
  <c r="Q17" i="7" s="1"/>
  <c r="Q19" i="7" s="1"/>
  <c r="O15" i="7"/>
  <c r="M29" i="7"/>
  <c r="E14" i="7"/>
  <c r="Q29" i="7"/>
  <c r="O30" i="7"/>
  <c r="M15" i="7"/>
  <c r="I15" i="7"/>
  <c r="I14" i="7"/>
  <c r="I29" i="7"/>
  <c r="K30" i="7"/>
  <c r="E15" i="7"/>
  <c r="E30" i="7"/>
  <c r="Q30" i="7"/>
  <c r="I30" i="7"/>
  <c r="K29" i="7"/>
  <c r="Q46" i="7" l="1"/>
  <c r="Q72" i="7"/>
  <c r="M17" i="7"/>
  <c r="M19" i="7" s="1"/>
  <c r="M20" i="7" s="1"/>
  <c r="M72" i="7"/>
  <c r="O72" i="7"/>
  <c r="K72" i="7"/>
  <c r="E72" i="7"/>
  <c r="I17" i="7"/>
  <c r="I19" i="7" s="1"/>
  <c r="I20" i="7" s="1"/>
  <c r="E17" i="7"/>
  <c r="O17" i="7"/>
  <c r="O19" i="7" s="1"/>
  <c r="E46" i="7"/>
  <c r="I33" i="7"/>
  <c r="G46" i="7"/>
  <c r="E33" i="7"/>
  <c r="K33" i="7"/>
  <c r="G20" i="7"/>
  <c r="I85" i="7"/>
  <c r="Q85" i="7"/>
  <c r="E85" i="7"/>
  <c r="M85" i="7"/>
  <c r="O85" i="7"/>
  <c r="G72" i="7"/>
  <c r="O33" i="7"/>
  <c r="G102" i="7" l="1"/>
  <c r="G98" i="7"/>
  <c r="G100" i="7"/>
  <c r="K85" i="7"/>
  <c r="K46" i="7"/>
  <c r="O20" i="7"/>
  <c r="I72" i="7"/>
  <c r="I102" i="7" s="1"/>
  <c r="E20" i="7"/>
  <c r="E102" i="7" s="1"/>
  <c r="M46" i="7"/>
  <c r="Q33" i="7"/>
  <c r="O46" i="7"/>
  <c r="M33" i="7"/>
  <c r="G103" i="7" l="1"/>
  <c r="G105" i="7" s="1"/>
  <c r="G107" i="7" s="1"/>
  <c r="M102" i="7"/>
  <c r="O102" i="7"/>
  <c r="K102" i="7"/>
  <c r="E98" i="7"/>
  <c r="E100" i="7"/>
  <c r="O98" i="7"/>
  <c r="O100" i="7"/>
  <c r="M98" i="7"/>
  <c r="I98" i="7"/>
  <c r="K98" i="7"/>
  <c r="K100" i="7"/>
  <c r="M100" i="7"/>
  <c r="I100" i="7"/>
  <c r="Q20" i="7"/>
  <c r="Q102" i="7" s="1"/>
  <c r="O103" i="7" l="1"/>
  <c r="O105" i="7" s="1"/>
  <c r="O107" i="7" s="1"/>
  <c r="K103" i="7"/>
  <c r="K105" i="7" s="1"/>
  <c r="K107" i="7" s="1"/>
  <c r="I103" i="7"/>
  <c r="I105" i="7" s="1"/>
  <c r="I107" i="7" s="1"/>
  <c r="M103" i="7"/>
  <c r="M105" i="7" s="1"/>
  <c r="M107" i="7" s="1"/>
  <c r="E103" i="7"/>
  <c r="E105" i="7" s="1"/>
  <c r="E107" i="7" s="1"/>
  <c r="Q98" i="7"/>
  <c r="Q100" i="7"/>
  <c r="Q103" i="7" l="1"/>
  <c r="Q105" i="7" s="1"/>
  <c r="Q107" i="7" s="1"/>
</calcChain>
</file>

<file path=xl/sharedStrings.xml><?xml version="1.0" encoding="utf-8"?>
<sst xmlns="http://schemas.openxmlformats.org/spreadsheetml/2006/main" count="263" uniqueCount="64">
  <si>
    <t>Наименование должности</t>
  </si>
  <si>
    <t>№ п/п</t>
  </si>
  <si>
    <t>Воспитатель</t>
  </si>
  <si>
    <t>Музыкальный руководитель</t>
  </si>
  <si>
    <t>количество штатных единиц</t>
  </si>
  <si>
    <t>Младший воспитатель</t>
  </si>
  <si>
    <t>Размер заработной платы в соответствии с должностным окладом</t>
  </si>
  <si>
    <t>Отчисления во внебюджетные фонды (30,2%)</t>
  </si>
  <si>
    <t>-в месяц</t>
  </si>
  <si>
    <t>-в год</t>
  </si>
  <si>
    <t>Итого затраты на оплату труда воспитателей:</t>
  </si>
  <si>
    <t>Учитель-логопед, учитель-дефектолог</t>
  </si>
  <si>
    <t>Педагог-психолог</t>
  </si>
  <si>
    <t>Итого затраты на оплату труда младших воспитателей:</t>
  </si>
  <si>
    <t>Инструктор по физической культуре</t>
  </si>
  <si>
    <t>Затраты на оплату труда АУП</t>
  </si>
  <si>
    <t>Итого затраты на оплату труда работников, непосредственно связанных с оказанием муниципальной услуги</t>
  </si>
  <si>
    <t>Затраты на оплату труда прочих педработников (старшие воспитатели), непосредственно связанных с оказанием муниципальной услуги</t>
  </si>
  <si>
    <t>Отпускные</t>
  </si>
  <si>
    <t>Надбавка за качество работы (20,0 % от ФЗП по окладам)</t>
  </si>
  <si>
    <t>Затраты на оплату труда прочих работников (МОП, кроме дворника, и делопроизводители), непосредственно связанных с оказанием муниципальной услуги</t>
  </si>
  <si>
    <t>Дворник</t>
  </si>
  <si>
    <t>Размер заработной платы в соответствии со ставкой заработной платы</t>
  </si>
  <si>
    <t>Итого затраты на оплату труда дворников:</t>
  </si>
  <si>
    <t>Реализация основных общеобразовательных  программ дошкольного образования</t>
  </si>
  <si>
    <t>10 часовое пребывание детей-1 ясельная группа</t>
  </si>
  <si>
    <t>10 часовое пребывание детей-1 дошкольная группа</t>
  </si>
  <si>
    <t>10 часовое пребывание детей-1 дошкольная группа компенсирующей направленности</t>
  </si>
  <si>
    <t>12 часовое пребывание детей-1 ясельная группа</t>
  </si>
  <si>
    <t>12 часовое пребывание детей-1 дошкольная группа</t>
  </si>
  <si>
    <t>12 часовое пребывание детей-1 дошкольная группа компенсирующей направленности</t>
  </si>
  <si>
    <t>ФОТ, руб.</t>
  </si>
  <si>
    <t>Показатели, используемые для расчёта нормативных затрат</t>
  </si>
  <si>
    <t>Доплаты за работу, не входящую в круг основных должностных обязанностей (5% от ФЗП по ставкам заработной платы с надбавкой за квалификацию)</t>
  </si>
  <si>
    <t>Надбавка за интенсивность и высокие результаты работы (40,0 % от ФЗП по ставкам заработной платы)</t>
  </si>
  <si>
    <t>Надбавка за качество работы (20,0 % от ФЗП по ставкам заработной платы)</t>
  </si>
  <si>
    <t>Надбавка за квалификацию (максимально - 30% от ФЗП по ставкам заработной платы)</t>
  </si>
  <si>
    <t>Надбавка за выслугу лет (максимально - 30% от ФЗП по ставкам заработной платы с надбавкой за квалификацию)</t>
  </si>
  <si>
    <t>Премиальный фонд (5% от ФЗП)</t>
  </si>
  <si>
    <t>Фонд материальной помощи (1% от ФЗП)</t>
  </si>
  <si>
    <t>Отчисления во внебюджетные фонды (30,2% от ФЗП)</t>
  </si>
  <si>
    <t>Надбавка за квалификацию (максимально - 30% от ФЗП по должностным окладам)</t>
  </si>
  <si>
    <t>Доплата за работу в особых условиях труда (20%  от ФЗП по должностным окладам с надбавкой  за квалификацию)</t>
  </si>
  <si>
    <t>Доплаты за работу, не входящую в круг основных должностных обязанностей (5% от ФЗП по должностным окладам с надбавкой за квалификацию)</t>
  </si>
  <si>
    <t>Надбавка за интенсивность и высокие результаты работы (40,0 % от ФЗП по должностным окладам)</t>
  </si>
  <si>
    <t>Надбавка за качество работы (20,0 % от ФЗП по должностным окладам)</t>
  </si>
  <si>
    <t>Доплата за работу в особых условиях труда (20%  от ФЗП по ставкам заработной платы с надбавкой  за квалификацию)</t>
  </si>
  <si>
    <t>Доплата за работу в особых условиях труда (20%  от ФЗП по должностным окладам)</t>
  </si>
  <si>
    <t>Надбавка за выслугу лет (максимально - 30% от ФЗП по должностным окладам с надбавкой за квалификацию)</t>
  </si>
  <si>
    <t>Надбавка за выслугу лет (максимально - 30% от ФЗП по должностным окладам)</t>
  </si>
  <si>
    <t>Доплаты за работу, не входящую в круг основных должностных обязанностей (5% от ФЗП по должностным окладам)</t>
  </si>
  <si>
    <t>Доведение до  МРОТ</t>
  </si>
  <si>
    <t>Доплаты за работу, не входящую в круг основных должностных обязанностей (5% от ФЗП по ставкам заработной платы)</t>
  </si>
  <si>
    <t>19,2 % от ФОТ персонала  (из расчёта ФОТ  на 2016 год)</t>
  </si>
  <si>
    <t>2,8 % от ФОТ персонала на (из расчёта ФОТ  на 2016 год)</t>
  </si>
  <si>
    <t>3,4 %*11163/8489/7500 от ФОТ персонала  (из расчёта ФОТ на 2016 год)</t>
  </si>
  <si>
    <t>9 часовое пребывание детей-1 дошкольная группа</t>
  </si>
  <si>
    <t>Надбавка за специфику работы (25% от ФЗП по ставкам заработной платы)</t>
  </si>
  <si>
    <t>Надбавка за специфику работы (25% от ФЗП по должносным окладам)</t>
  </si>
  <si>
    <t>Приложение №1</t>
  </si>
  <si>
    <t>Итого затраты на оплату труда музыкальных руководителей:</t>
  </si>
  <si>
    <t>Расчетная наполняемость групп, чел./норматив на 1-го воспитанника в год, руб.:</t>
  </si>
  <si>
    <t>Базовый норматив на затраты, непосредственно связанные с оказанием муниципальной услуги, руб.</t>
  </si>
  <si>
    <t>Отраслевые  корректирующие коэффициенты затрат, непосредственно связанных с оказанием муниципальной услуиг, учитывающие режим работы дошкольных образовательных организаций и специфику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</si>
</sst>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wrapText="1"/>
    </xf>
    <xf numFmtId="4" fontId="1" fillId="0" borderId="1" xfId="0" applyNumberFormat="1" applyFont="1" applyFill="1" applyBorder="1" applyAlignment="1">
      <alignment horizontal="center" wrapText="1"/>
    </xf>
    <xf numFmtId="4" fontId="1" fillId="0" borderId="1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0" xfId="0" applyFont="1" applyFill="1"/>
    <xf numFmtId="164" fontId="1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" fontId="1" fillId="0" borderId="1" xfId="0" applyNumberFormat="1" applyFont="1" applyBorder="1"/>
    <xf numFmtId="0" fontId="1" fillId="0" borderId="1" xfId="0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" fillId="2" borderId="0" xfId="0" applyNumberFormat="1" applyFont="1" applyFill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3" fillId="0" borderId="4" xfId="0" applyFont="1" applyBorder="1" applyAlignment="1">
      <alignment horizontal="center"/>
    </xf>
    <xf numFmtId="165" fontId="4" fillId="2" borderId="4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165" fontId="4" fillId="2" borderId="2" xfId="0" applyNumberFormat="1" applyFont="1" applyFill="1" applyBorder="1" applyAlignment="1">
      <alignment horizontal="left" vertical="center" wrapText="1"/>
    </xf>
    <xf numFmtId="165" fontId="4" fillId="2" borderId="3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4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4" fontId="2" fillId="2" borderId="4" xfId="0" applyNumberFormat="1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4" fontId="1" fillId="2" borderId="1" xfId="0" applyNumberFormat="1" applyFont="1" applyFill="1" applyBorder="1"/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3" fontId="1" fillId="2" borderId="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7"/>
  <sheetViews>
    <sheetView tabSelected="1" view="pageBreakPreview" zoomScale="64" zoomScaleNormal="81" zoomScaleSheetLayoutView="64" workbookViewId="0">
      <pane xSplit="3" ySplit="5" topLeftCell="D66" activePane="bottomRight" state="frozen"/>
      <selection pane="topRight" activeCell="D1" sqref="D1"/>
      <selection pane="bottomLeft" activeCell="A5" sqref="A5"/>
      <selection pane="bottomRight" activeCell="E107" sqref="E107"/>
    </sheetView>
  </sheetViews>
  <sheetFormatPr defaultRowHeight="15" x14ac:dyDescent="0.25"/>
  <cols>
    <col min="1" max="1" width="6.28515625" style="1" customWidth="1"/>
    <col min="2" max="2" width="16.85546875" style="1" customWidth="1"/>
    <col min="3" max="3" width="37.28515625" style="1" customWidth="1"/>
    <col min="4" max="4" width="13.7109375" style="1" customWidth="1"/>
    <col min="5" max="5" width="12.7109375" style="1" customWidth="1"/>
    <col min="6" max="6" width="11" style="1" customWidth="1"/>
    <col min="7" max="7" width="12.85546875" style="1" customWidth="1"/>
    <col min="8" max="8" width="14.85546875" style="1" customWidth="1"/>
    <col min="9" max="9" width="14" style="1" customWidth="1"/>
    <col min="10" max="10" width="12" style="1" customWidth="1"/>
    <col min="11" max="11" width="16" style="1" customWidth="1"/>
    <col min="12" max="12" width="13.42578125" style="1" customWidth="1"/>
    <col min="13" max="13" width="15.7109375" style="18" customWidth="1"/>
    <col min="14" max="14" width="14.85546875" style="18" customWidth="1"/>
    <col min="15" max="15" width="15.7109375" style="18" customWidth="1"/>
    <col min="16" max="16" width="14.140625" style="1" customWidth="1"/>
    <col min="17" max="17" width="14.42578125" style="1" customWidth="1"/>
    <col min="18" max="16384" width="9.140625" style="1"/>
  </cols>
  <sheetData>
    <row r="1" spans="1:17" ht="32.25" customHeight="1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40"/>
      <c r="P1" s="40"/>
      <c r="Q1" s="40"/>
    </row>
    <row r="2" spans="1:17" ht="32.25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ht="46.5" customHeight="1" x14ac:dyDescent="0.25">
      <c r="A3" s="36" t="s">
        <v>1</v>
      </c>
      <c r="B3" s="36" t="s">
        <v>0</v>
      </c>
      <c r="C3" s="36" t="s">
        <v>32</v>
      </c>
      <c r="D3" s="41" t="s">
        <v>24</v>
      </c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2"/>
    </row>
    <row r="4" spans="1:17" s="2" customFormat="1" ht="63" customHeight="1" x14ac:dyDescent="0.25">
      <c r="A4" s="37"/>
      <c r="B4" s="37"/>
      <c r="C4" s="37"/>
      <c r="D4" s="41" t="s">
        <v>56</v>
      </c>
      <c r="E4" s="42"/>
      <c r="F4" s="43" t="s">
        <v>25</v>
      </c>
      <c r="G4" s="43"/>
      <c r="H4" s="41" t="s">
        <v>26</v>
      </c>
      <c r="I4" s="42"/>
      <c r="J4" s="41" t="s">
        <v>27</v>
      </c>
      <c r="K4" s="42"/>
      <c r="L4" s="43" t="s">
        <v>28</v>
      </c>
      <c r="M4" s="43"/>
      <c r="N4" s="41" t="s">
        <v>29</v>
      </c>
      <c r="O4" s="42"/>
      <c r="P4" s="41" t="s">
        <v>30</v>
      </c>
      <c r="Q4" s="42"/>
    </row>
    <row r="5" spans="1:17" ht="48.75" customHeight="1" x14ac:dyDescent="0.25">
      <c r="A5" s="38"/>
      <c r="B5" s="38"/>
      <c r="C5" s="38"/>
      <c r="D5" s="9" t="s">
        <v>4</v>
      </c>
      <c r="E5" s="8" t="s">
        <v>31</v>
      </c>
      <c r="F5" s="28" t="s">
        <v>4</v>
      </c>
      <c r="G5" s="27" t="s">
        <v>31</v>
      </c>
      <c r="H5" s="28" t="s">
        <v>4</v>
      </c>
      <c r="I5" s="27" t="s">
        <v>31</v>
      </c>
      <c r="J5" s="28" t="s">
        <v>4</v>
      </c>
      <c r="K5" s="27" t="s">
        <v>31</v>
      </c>
      <c r="L5" s="28" t="s">
        <v>4</v>
      </c>
      <c r="M5" s="27" t="s">
        <v>31</v>
      </c>
      <c r="N5" s="13" t="s">
        <v>4</v>
      </c>
      <c r="O5" s="27" t="s">
        <v>31</v>
      </c>
      <c r="P5" s="27" t="s">
        <v>4</v>
      </c>
      <c r="Q5" s="27" t="s">
        <v>31</v>
      </c>
    </row>
    <row r="6" spans="1:17" ht="45" x14ac:dyDescent="0.25">
      <c r="A6" s="3">
        <v>1</v>
      </c>
      <c r="B6" s="4" t="s">
        <v>2</v>
      </c>
      <c r="C6" s="6" t="s">
        <v>22</v>
      </c>
      <c r="D6" s="7">
        <v>1.25</v>
      </c>
      <c r="E6" s="7">
        <f>ROUND(8216*D6,2)</f>
        <v>10270</v>
      </c>
      <c r="F6" s="7">
        <v>1.39</v>
      </c>
      <c r="G6" s="7">
        <f>ROUND(8216*F6,2)</f>
        <v>11420.24</v>
      </c>
      <c r="H6" s="7">
        <v>1.39</v>
      </c>
      <c r="I6" s="7">
        <f>ROUND(8216*H6,2)</f>
        <v>11420.24</v>
      </c>
      <c r="J6" s="14">
        <v>2</v>
      </c>
      <c r="K6" s="7">
        <f>ROUND(8216*J6,2)</f>
        <v>16432</v>
      </c>
      <c r="L6" s="14">
        <v>2</v>
      </c>
      <c r="M6" s="7">
        <f>ROUND(8216*L6,2)</f>
        <v>16432</v>
      </c>
      <c r="N6" s="14">
        <v>2</v>
      </c>
      <c r="O6" s="7">
        <f>ROUND(8216*N6,2)</f>
        <v>16432</v>
      </c>
      <c r="P6" s="14">
        <v>2.4</v>
      </c>
      <c r="Q6" s="7">
        <f>ROUND(8216*P6,2)</f>
        <v>19718.400000000001</v>
      </c>
    </row>
    <row r="7" spans="1:17" ht="54.75" customHeight="1" x14ac:dyDescent="0.25">
      <c r="A7" s="3"/>
      <c r="B7" s="4"/>
      <c r="C7" s="6" t="s">
        <v>36</v>
      </c>
      <c r="D7" s="7"/>
      <c r="E7" s="7">
        <f>ROUND(E6*0.3,2)</f>
        <v>3081</v>
      </c>
      <c r="F7" s="7"/>
      <c r="G7" s="7">
        <f>ROUND(G6*0.3,2)</f>
        <v>3426.07</v>
      </c>
      <c r="H7" s="7"/>
      <c r="I7" s="7">
        <f>ROUND(I6*0.3,2)</f>
        <v>3426.07</v>
      </c>
      <c r="J7" s="14"/>
      <c r="K7" s="7">
        <f>ROUND(K6*0.3,2)</f>
        <v>4929.6000000000004</v>
      </c>
      <c r="L7" s="14"/>
      <c r="M7" s="14">
        <f>ROUND(M6*0.3,2)</f>
        <v>4929.6000000000004</v>
      </c>
      <c r="N7" s="14"/>
      <c r="O7" s="14">
        <f>ROUND(O6*0.3,2)</f>
        <v>4929.6000000000004</v>
      </c>
      <c r="P7" s="14"/>
      <c r="Q7" s="7">
        <f>ROUND(Q6*0.3,2)</f>
        <v>5915.52</v>
      </c>
    </row>
    <row r="8" spans="1:17" ht="63.75" customHeight="1" x14ac:dyDescent="0.25">
      <c r="A8" s="3"/>
      <c r="B8" s="4"/>
      <c r="C8" s="6" t="s">
        <v>46</v>
      </c>
      <c r="D8" s="7"/>
      <c r="E8" s="7"/>
      <c r="F8" s="7"/>
      <c r="G8" s="7"/>
      <c r="H8" s="7"/>
      <c r="I8" s="7"/>
      <c r="J8" s="14"/>
      <c r="K8" s="7">
        <f>ROUND((K6+K7)*0.2,2)</f>
        <v>4272.32</v>
      </c>
      <c r="L8" s="14"/>
      <c r="M8" s="14"/>
      <c r="N8" s="14"/>
      <c r="O8" s="14"/>
      <c r="P8" s="14"/>
      <c r="Q8" s="7">
        <f>ROUND((Q6+Q7)*0.2,2)</f>
        <v>5126.78</v>
      </c>
    </row>
    <row r="9" spans="1:17" ht="57.75" customHeight="1" x14ac:dyDescent="0.25">
      <c r="A9" s="4"/>
      <c r="B9" s="4"/>
      <c r="C9" s="6" t="s">
        <v>37</v>
      </c>
      <c r="D9" s="4"/>
      <c r="E9" s="7">
        <f>ROUND((E6+E7)*0.3,2)</f>
        <v>4005.3</v>
      </c>
      <c r="F9" s="5"/>
      <c r="G9" s="7">
        <f>ROUND((G6+G7)*0.3,2)</f>
        <v>4453.8900000000003</v>
      </c>
      <c r="H9" s="5"/>
      <c r="I9" s="7">
        <f>ROUND((I6+I7)*0.3,2)</f>
        <v>4453.8900000000003</v>
      </c>
      <c r="J9" s="15"/>
      <c r="K9" s="7">
        <f>ROUND((K6+K7)*0.3,2)</f>
        <v>6408.48</v>
      </c>
      <c r="L9" s="15"/>
      <c r="M9" s="14">
        <f>ROUND((M6+M7)*0.3,2)</f>
        <v>6408.48</v>
      </c>
      <c r="N9" s="15"/>
      <c r="O9" s="14">
        <f>ROUND((O6+O7)*0.3,2)</f>
        <v>6408.48</v>
      </c>
      <c r="P9" s="15"/>
      <c r="Q9" s="7">
        <f>ROUND((Q6+Q7)*0.3,2)</f>
        <v>7690.18</v>
      </c>
    </row>
    <row r="10" spans="1:17" ht="39.75" customHeight="1" x14ac:dyDescent="0.25">
      <c r="A10" s="4"/>
      <c r="B10" s="4"/>
      <c r="C10" s="6" t="s">
        <v>57</v>
      </c>
      <c r="D10" s="3"/>
      <c r="E10" s="7">
        <f t="shared" ref="E10" si="0">ROUND(E6*0.25,2)</f>
        <v>2567.5</v>
      </c>
      <c r="F10" s="7"/>
      <c r="G10" s="7">
        <f t="shared" ref="G10" si="1">ROUND(G6*0.25,2)</f>
        <v>2855.06</v>
      </c>
      <c r="H10" s="7"/>
      <c r="I10" s="7">
        <f>ROUND(I6*0.25,2)</f>
        <v>2855.06</v>
      </c>
      <c r="J10" s="7"/>
      <c r="K10" s="7">
        <f t="shared" ref="K10:O10" si="2">ROUND(K6*0.25,2)</f>
        <v>4108</v>
      </c>
      <c r="L10" s="7"/>
      <c r="M10" s="14">
        <f t="shared" si="2"/>
        <v>4108</v>
      </c>
      <c r="N10" s="14"/>
      <c r="O10" s="14">
        <f t="shared" si="2"/>
        <v>4108</v>
      </c>
      <c r="P10" s="7"/>
      <c r="Q10" s="7">
        <f t="shared" ref="Q10" si="3">ROUND(Q6*0.25,2)</f>
        <v>4929.6000000000004</v>
      </c>
    </row>
    <row r="11" spans="1:17" ht="73.5" customHeight="1" x14ac:dyDescent="0.25">
      <c r="A11" s="4"/>
      <c r="B11" s="4"/>
      <c r="C11" s="6" t="s">
        <v>33</v>
      </c>
      <c r="D11" s="4"/>
      <c r="E11" s="7">
        <f>ROUND((E6+E7)*0.05,2)</f>
        <v>667.55</v>
      </c>
      <c r="F11" s="7"/>
      <c r="G11" s="7">
        <f t="shared" ref="G11:Q11" si="4">ROUND((G6+G7)*0.05,2)</f>
        <v>742.32</v>
      </c>
      <c r="H11" s="7"/>
      <c r="I11" s="7">
        <f t="shared" si="4"/>
        <v>742.32</v>
      </c>
      <c r="J11" s="7"/>
      <c r="K11" s="7">
        <f t="shared" si="4"/>
        <v>1068.08</v>
      </c>
      <c r="L11" s="7"/>
      <c r="M11" s="7">
        <f t="shared" si="4"/>
        <v>1068.08</v>
      </c>
      <c r="N11" s="7"/>
      <c r="O11" s="7">
        <f t="shared" si="4"/>
        <v>1068.08</v>
      </c>
      <c r="P11" s="7"/>
      <c r="Q11" s="7">
        <f t="shared" si="4"/>
        <v>1281.7</v>
      </c>
    </row>
    <row r="12" spans="1:17" ht="61.5" customHeight="1" x14ac:dyDescent="0.25">
      <c r="A12" s="4"/>
      <c r="B12" s="4"/>
      <c r="C12" s="6" t="s">
        <v>34</v>
      </c>
      <c r="D12" s="4"/>
      <c r="E12" s="7">
        <f>ROUND(E6*0.4,2)</f>
        <v>4108</v>
      </c>
      <c r="F12" s="7"/>
      <c r="G12" s="7">
        <f t="shared" ref="G12:Q12" si="5">ROUND(G6*0.4,2)</f>
        <v>4568.1000000000004</v>
      </c>
      <c r="H12" s="7"/>
      <c r="I12" s="7">
        <f t="shared" si="5"/>
        <v>4568.1000000000004</v>
      </c>
      <c r="J12" s="7"/>
      <c r="K12" s="7">
        <f t="shared" si="5"/>
        <v>6572.8</v>
      </c>
      <c r="L12" s="7"/>
      <c r="M12" s="7">
        <f t="shared" si="5"/>
        <v>6572.8</v>
      </c>
      <c r="N12" s="7"/>
      <c r="O12" s="7">
        <f t="shared" si="5"/>
        <v>6572.8</v>
      </c>
      <c r="P12" s="7"/>
      <c r="Q12" s="7">
        <f t="shared" si="5"/>
        <v>7887.36</v>
      </c>
    </row>
    <row r="13" spans="1:17" ht="39.75" customHeight="1" x14ac:dyDescent="0.25">
      <c r="A13" s="4"/>
      <c r="B13" s="4"/>
      <c r="C13" s="6" t="s">
        <v>35</v>
      </c>
      <c r="D13" s="4"/>
      <c r="E13" s="7">
        <f>ROUND(E6*0.2,2)</f>
        <v>2054</v>
      </c>
      <c r="F13" s="7"/>
      <c r="G13" s="7">
        <f>ROUND(G6*0.2,2)</f>
        <v>2284.0500000000002</v>
      </c>
      <c r="H13" s="7"/>
      <c r="I13" s="7">
        <f>ROUND(I6*0.2,2)</f>
        <v>2284.0500000000002</v>
      </c>
      <c r="J13" s="7"/>
      <c r="K13" s="7">
        <f>ROUND(K6*0.2,2)</f>
        <v>3286.4</v>
      </c>
      <c r="L13" s="7"/>
      <c r="M13" s="7">
        <f>ROUND(M6*0.2,2)</f>
        <v>3286.4</v>
      </c>
      <c r="N13" s="7"/>
      <c r="O13" s="7">
        <f>ROUND(O6*0.2,2)</f>
        <v>3286.4</v>
      </c>
      <c r="P13" s="7"/>
      <c r="Q13" s="7">
        <f>ROUND(Q6*0.2,2)</f>
        <v>3943.68</v>
      </c>
    </row>
    <row r="14" spans="1:17" ht="28.5" customHeight="1" x14ac:dyDescent="0.25">
      <c r="A14" s="4"/>
      <c r="B14" s="4"/>
      <c r="C14" s="4" t="s">
        <v>38</v>
      </c>
      <c r="D14" s="4"/>
      <c r="E14" s="7">
        <f>ROUND((E6+E7+E8+E9+E10+E11+E12+E13)*0.05,2)</f>
        <v>1337.67</v>
      </c>
      <c r="F14" s="7"/>
      <c r="G14" s="7">
        <f t="shared" ref="G14:Q14" si="6">ROUND((G6+G7+G8+G9+G10+G11+G12+G13)*0.05,2)</f>
        <v>1487.49</v>
      </c>
      <c r="H14" s="7"/>
      <c r="I14" s="7">
        <f t="shared" si="6"/>
        <v>1487.49</v>
      </c>
      <c r="J14" s="7"/>
      <c r="K14" s="7">
        <f>ROUND((K6+K7+K8+K9+K10+K11+K12+K13)*0.05,2)</f>
        <v>2353.88</v>
      </c>
      <c r="L14" s="7"/>
      <c r="M14" s="7">
        <f t="shared" si="6"/>
        <v>2140.27</v>
      </c>
      <c r="N14" s="7"/>
      <c r="O14" s="7">
        <f t="shared" si="6"/>
        <v>2140.27</v>
      </c>
      <c r="P14" s="7"/>
      <c r="Q14" s="7">
        <f t="shared" si="6"/>
        <v>2824.66</v>
      </c>
    </row>
    <row r="15" spans="1:17" ht="33.75" customHeight="1" x14ac:dyDescent="0.25">
      <c r="A15" s="4"/>
      <c r="B15" s="4"/>
      <c r="C15" s="6" t="s">
        <v>39</v>
      </c>
      <c r="D15" s="4"/>
      <c r="E15" s="3">
        <f>ROUND((E6+E7+E8+E9+E10+E11+E12+E13)*0.01,2)</f>
        <v>267.52999999999997</v>
      </c>
      <c r="F15" s="3"/>
      <c r="G15" s="3">
        <f t="shared" ref="G15:Q15" si="7">ROUND((G6+G7+G8+G9+G10+G11+G12+G13)*0.01,2)</f>
        <v>297.5</v>
      </c>
      <c r="H15" s="3"/>
      <c r="I15" s="3">
        <f t="shared" si="7"/>
        <v>297.5</v>
      </c>
      <c r="J15" s="3"/>
      <c r="K15" s="3">
        <f>ROUND((K6+K7+K8+K9+K10+K11+K12+K13)*0.01,2)</f>
        <v>470.78</v>
      </c>
      <c r="L15" s="3"/>
      <c r="M15" s="3">
        <f t="shared" si="7"/>
        <v>428.05</v>
      </c>
      <c r="N15" s="3"/>
      <c r="O15" s="3">
        <f t="shared" si="7"/>
        <v>428.05</v>
      </c>
      <c r="P15" s="3"/>
      <c r="Q15" s="3">
        <f t="shared" si="7"/>
        <v>564.92999999999995</v>
      </c>
    </row>
    <row r="16" spans="1:17" ht="24.75" customHeight="1" x14ac:dyDescent="0.25">
      <c r="A16" s="4"/>
      <c r="B16" s="4"/>
      <c r="C16" s="4" t="s">
        <v>18</v>
      </c>
      <c r="D16" s="4"/>
      <c r="E16" s="7">
        <f>ROUND(22165.64/29.3*42/12*D6,2)</f>
        <v>3309.72</v>
      </c>
      <c r="F16" s="7"/>
      <c r="G16" s="7">
        <f t="shared" ref="G16:O16" si="8">ROUND(22165.64/29.3*42/12*F6,2)</f>
        <v>3680.4</v>
      </c>
      <c r="H16" s="7"/>
      <c r="I16" s="7">
        <f t="shared" si="8"/>
        <v>3680.4</v>
      </c>
      <c r="J16" s="7"/>
      <c r="K16" s="7">
        <f>ROUND(22165.64/29.3*56/12*J6,2)</f>
        <v>7060.73</v>
      </c>
      <c r="L16" s="7"/>
      <c r="M16" s="7">
        <f>ROUND(22165.64/29.3*42/12*L6,2)</f>
        <v>5295.55</v>
      </c>
      <c r="N16" s="7"/>
      <c r="O16" s="7">
        <f t="shared" si="8"/>
        <v>5295.55</v>
      </c>
      <c r="P16" s="7"/>
      <c r="Q16" s="7">
        <f>ROUND(22165.64/29.3*56/12*P6,2)</f>
        <v>8472.8700000000008</v>
      </c>
    </row>
    <row r="17" spans="1:17" ht="39" customHeight="1" x14ac:dyDescent="0.25">
      <c r="A17" s="4"/>
      <c r="B17" s="4"/>
      <c r="C17" s="6" t="s">
        <v>40</v>
      </c>
      <c r="D17" s="4"/>
      <c r="E17" s="11">
        <f>ROUND((E6+E7+E8+E9+E10+E11+E12+E14+E15+E16+E13)*0.302,2)</f>
        <v>9563.82</v>
      </c>
      <c r="F17" s="11"/>
      <c r="G17" s="11">
        <f t="shared" ref="G17:Q17" si="9">ROUND((G6+G7+G8+G9+G10+G11+G12+G14+G15+G16+G13)*0.302,2)</f>
        <v>10634.97</v>
      </c>
      <c r="H17" s="11"/>
      <c r="I17" s="11">
        <f t="shared" si="9"/>
        <v>10634.97</v>
      </c>
      <c r="J17" s="11"/>
      <c r="K17" s="11">
        <f>ROUND((K6+K7+K8+K9+K10+K11+K12+K14+K15+K16+K13)*0.302,2)</f>
        <v>17202.849999999999</v>
      </c>
      <c r="L17" s="11"/>
      <c r="M17" s="11">
        <f t="shared" si="9"/>
        <v>15302.11</v>
      </c>
      <c r="N17" s="11"/>
      <c r="O17" s="11">
        <f t="shared" si="9"/>
        <v>15302.11</v>
      </c>
      <c r="P17" s="11"/>
      <c r="Q17" s="11">
        <f t="shared" si="9"/>
        <v>20643.419999999998</v>
      </c>
    </row>
    <row r="18" spans="1:17" ht="36" customHeight="1" x14ac:dyDescent="0.25">
      <c r="A18" s="4"/>
      <c r="B18" s="4"/>
      <c r="C18" s="6" t="s">
        <v>10</v>
      </c>
      <c r="D18" s="4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ht="23.25" customHeight="1" x14ac:dyDescent="0.25">
      <c r="A19" s="4"/>
      <c r="B19" s="4"/>
      <c r="C19" s="10" t="s">
        <v>8</v>
      </c>
      <c r="D19" s="4"/>
      <c r="E19" s="7">
        <f>E6+E7+E8+E9+E10+E11+E12+E14+E15+E17+E16+E13</f>
        <v>41232.089999999997</v>
      </c>
      <c r="F19" s="7"/>
      <c r="G19" s="7">
        <f t="shared" ref="G19:Q19" si="10">G6+G7+G8+G9+G10+G11+G12+G14+G15+G17+G16+G13</f>
        <v>45850.090000000004</v>
      </c>
      <c r="H19" s="7"/>
      <c r="I19" s="7">
        <f t="shared" si="10"/>
        <v>45850.090000000004</v>
      </c>
      <c r="J19" s="7"/>
      <c r="K19" s="7">
        <f>K6+K7+K8+K9+K10+K11+K12+K14+K15+K17+K16+K13</f>
        <v>74165.919999999984</v>
      </c>
      <c r="L19" s="7"/>
      <c r="M19" s="7">
        <f t="shared" si="10"/>
        <v>65971.34</v>
      </c>
      <c r="N19" s="7"/>
      <c r="O19" s="7">
        <f t="shared" si="10"/>
        <v>65971.34</v>
      </c>
      <c r="P19" s="7"/>
      <c r="Q19" s="7">
        <f t="shared" si="10"/>
        <v>88999.099999999977</v>
      </c>
    </row>
    <row r="20" spans="1:17" ht="24.75" customHeight="1" x14ac:dyDescent="0.25">
      <c r="A20" s="4"/>
      <c r="B20" s="4"/>
      <c r="C20" s="10" t="s">
        <v>9</v>
      </c>
      <c r="D20" s="4"/>
      <c r="E20" s="7">
        <f>ROUND(E19*12,2)</f>
        <v>494785.08</v>
      </c>
      <c r="F20" s="5"/>
      <c r="G20" s="7">
        <f>ROUND(G19*12,2)</f>
        <v>550201.07999999996</v>
      </c>
      <c r="H20" s="5"/>
      <c r="I20" s="7">
        <f>ROUND(I19*12,2)</f>
        <v>550201.07999999996</v>
      </c>
      <c r="J20" s="15"/>
      <c r="K20" s="7">
        <f>ROUND(K19*12,2)</f>
        <v>889991.04</v>
      </c>
      <c r="L20" s="15"/>
      <c r="M20" s="14">
        <f>ROUND(M19*12,2)</f>
        <v>791656.08</v>
      </c>
      <c r="N20" s="15"/>
      <c r="O20" s="14">
        <f>ROUND(O19*12,2)</f>
        <v>791656.08</v>
      </c>
      <c r="P20" s="15"/>
      <c r="Q20" s="7">
        <f>ROUND(Q19*12,2)</f>
        <v>1067989.2</v>
      </c>
    </row>
    <row r="21" spans="1:17" ht="45" x14ac:dyDescent="0.25">
      <c r="A21" s="3">
        <v>2</v>
      </c>
      <c r="B21" s="6" t="s">
        <v>3</v>
      </c>
      <c r="C21" s="6" t="s">
        <v>22</v>
      </c>
      <c r="D21" s="3">
        <v>0.25</v>
      </c>
      <c r="E21" s="7">
        <f>ROUND(7471*D21,2)</f>
        <v>1867.75</v>
      </c>
      <c r="F21" s="7">
        <v>0.25</v>
      </c>
      <c r="G21" s="7">
        <f>ROUND(7471*F21,2)</f>
        <v>1867.75</v>
      </c>
      <c r="H21" s="3">
        <v>0.25</v>
      </c>
      <c r="I21" s="7">
        <f>ROUND(7471*H21,2)</f>
        <v>1867.75</v>
      </c>
      <c r="J21" s="17">
        <v>0.25</v>
      </c>
      <c r="K21" s="7">
        <f>ROUND(7471*J21,2)</f>
        <v>1867.75</v>
      </c>
      <c r="L21" s="17">
        <v>0.25</v>
      </c>
      <c r="M21" s="7">
        <f>ROUND(7471*L21,2)</f>
        <v>1867.75</v>
      </c>
      <c r="N21" s="17">
        <v>0.25</v>
      </c>
      <c r="O21" s="7">
        <f>ROUND(7471*N21,2)</f>
        <v>1867.75</v>
      </c>
      <c r="P21" s="17">
        <v>0.25</v>
      </c>
      <c r="Q21" s="7">
        <f>ROUND(7471*P21,2)</f>
        <v>1867.75</v>
      </c>
    </row>
    <row r="22" spans="1:17" ht="45" x14ac:dyDescent="0.25">
      <c r="A22" s="4"/>
      <c r="B22" s="4"/>
      <c r="C22" s="6" t="s">
        <v>36</v>
      </c>
      <c r="D22" s="4"/>
      <c r="E22" s="7">
        <f>ROUND(E21*0.3,2)</f>
        <v>560.33000000000004</v>
      </c>
      <c r="F22" s="5"/>
      <c r="G22" s="7">
        <f>ROUND(G21*0.3,2)</f>
        <v>560.33000000000004</v>
      </c>
      <c r="H22" s="4"/>
      <c r="I22" s="7">
        <f>ROUND(I21*0.3,2)</f>
        <v>560.33000000000004</v>
      </c>
      <c r="J22" s="16"/>
      <c r="K22" s="7">
        <f>ROUND(K21*0.3,2)</f>
        <v>560.33000000000004</v>
      </c>
      <c r="L22" s="16"/>
      <c r="M22" s="14">
        <f>ROUND(M21*0.3,2)</f>
        <v>560.33000000000004</v>
      </c>
      <c r="N22" s="16"/>
      <c r="O22" s="14">
        <f>ROUND(O21*0.3,2)</f>
        <v>560.33000000000004</v>
      </c>
      <c r="P22" s="16"/>
      <c r="Q22" s="7">
        <f>ROUND(Q21*0.3,2)</f>
        <v>560.33000000000004</v>
      </c>
    </row>
    <row r="23" spans="1:17" ht="45.75" customHeight="1" x14ac:dyDescent="0.25">
      <c r="A23" s="4"/>
      <c r="B23" s="4"/>
      <c r="C23" s="6" t="s">
        <v>46</v>
      </c>
      <c r="D23" s="4"/>
      <c r="E23" s="7"/>
      <c r="F23" s="5"/>
      <c r="G23" s="7"/>
      <c r="H23" s="4"/>
      <c r="I23" s="7"/>
      <c r="J23" s="16"/>
      <c r="K23" s="7">
        <f>ROUND((K21+K22)*0.2,2)</f>
        <v>485.62</v>
      </c>
      <c r="L23" s="16"/>
      <c r="M23" s="14"/>
      <c r="N23" s="16"/>
      <c r="O23" s="14"/>
      <c r="P23" s="16"/>
      <c r="Q23" s="7">
        <f>ROUND((Q21+Q22)*0.2,2)</f>
        <v>485.62</v>
      </c>
    </row>
    <row r="24" spans="1:17" ht="60" x14ac:dyDescent="0.25">
      <c r="A24" s="4"/>
      <c r="B24" s="4"/>
      <c r="C24" s="6" t="s">
        <v>37</v>
      </c>
      <c r="D24" s="4"/>
      <c r="E24" s="7">
        <f>ROUND((E21+E22)*0.3,2)</f>
        <v>728.42</v>
      </c>
      <c r="F24" s="5"/>
      <c r="G24" s="7">
        <f>ROUND((G21+G22)*0.3,2)</f>
        <v>728.42</v>
      </c>
      <c r="H24" s="4"/>
      <c r="I24" s="7">
        <f>ROUND((I21+I22)*0.3,2)</f>
        <v>728.42</v>
      </c>
      <c r="J24" s="16"/>
      <c r="K24" s="7">
        <f>ROUND((K21+K22)*0.3,2)</f>
        <v>728.42</v>
      </c>
      <c r="L24" s="16"/>
      <c r="M24" s="14">
        <f>ROUND((M21+M22)*0.3,2)</f>
        <v>728.42</v>
      </c>
      <c r="N24" s="16"/>
      <c r="O24" s="14">
        <f>ROUND((O21+O22)*0.3,2)</f>
        <v>728.42</v>
      </c>
      <c r="P24" s="16"/>
      <c r="Q24" s="7">
        <f>ROUND((Q21+Q22)*0.3,2)</f>
        <v>728.42</v>
      </c>
    </row>
    <row r="25" spans="1:17" ht="34.5" customHeight="1" x14ac:dyDescent="0.25">
      <c r="A25" s="4"/>
      <c r="B25" s="4"/>
      <c r="C25" s="6" t="s">
        <v>57</v>
      </c>
      <c r="D25" s="4"/>
      <c r="E25" s="7">
        <f>ROUND(E21*0.25,2)</f>
        <v>466.94</v>
      </c>
      <c r="F25" s="5"/>
      <c r="G25" s="7">
        <f>ROUND(G21*0.25,2)</f>
        <v>466.94</v>
      </c>
      <c r="H25" s="4"/>
      <c r="I25" s="7">
        <f>ROUND(I21*0.25,2)</f>
        <v>466.94</v>
      </c>
      <c r="J25" s="16"/>
      <c r="K25" s="7">
        <f t="shared" ref="K25" si="11">ROUND(K21*0.25,2)</f>
        <v>466.94</v>
      </c>
      <c r="L25" s="16"/>
      <c r="M25" s="14">
        <f>ROUND(M21*0.25,2)</f>
        <v>466.94</v>
      </c>
      <c r="N25" s="16"/>
      <c r="O25" s="14">
        <f>ROUND(O21*0.25,2)</f>
        <v>466.94</v>
      </c>
      <c r="P25" s="16"/>
      <c r="Q25" s="7">
        <f t="shared" ref="Q25" si="12">ROUND(Q21*0.25,2)</f>
        <v>466.94</v>
      </c>
    </row>
    <row r="26" spans="1:17" ht="75" x14ac:dyDescent="0.25">
      <c r="A26" s="4"/>
      <c r="B26" s="4"/>
      <c r="C26" s="6" t="s">
        <v>33</v>
      </c>
      <c r="D26" s="4"/>
      <c r="E26" s="7">
        <f>ROUND((E21+E22)*0.05,2)</f>
        <v>121.4</v>
      </c>
      <c r="F26" s="7"/>
      <c r="G26" s="7">
        <f t="shared" ref="G26:Q26" si="13">ROUND((G21+G22)*0.05,2)</f>
        <v>121.4</v>
      </c>
      <c r="H26" s="7"/>
      <c r="I26" s="7">
        <f t="shared" si="13"/>
        <v>121.4</v>
      </c>
      <c r="J26" s="7"/>
      <c r="K26" s="7">
        <f t="shared" si="13"/>
        <v>121.4</v>
      </c>
      <c r="L26" s="7"/>
      <c r="M26" s="7">
        <f t="shared" si="13"/>
        <v>121.4</v>
      </c>
      <c r="N26" s="7"/>
      <c r="O26" s="7">
        <f t="shared" si="13"/>
        <v>121.4</v>
      </c>
      <c r="P26" s="7"/>
      <c r="Q26" s="7">
        <f t="shared" si="13"/>
        <v>121.4</v>
      </c>
    </row>
    <row r="27" spans="1:17" ht="45" x14ac:dyDescent="0.25">
      <c r="A27" s="4"/>
      <c r="B27" s="4"/>
      <c r="C27" s="6" t="s">
        <v>34</v>
      </c>
      <c r="D27" s="4"/>
      <c r="E27" s="7">
        <f>ROUND(E21*0.4,2)</f>
        <v>747.1</v>
      </c>
      <c r="F27" s="7"/>
      <c r="G27" s="7">
        <f t="shared" ref="G27:Q27" si="14">ROUND(G21*0.4,2)</f>
        <v>747.1</v>
      </c>
      <c r="H27" s="7"/>
      <c r="I27" s="7">
        <f t="shared" si="14"/>
        <v>747.1</v>
      </c>
      <c r="J27" s="7"/>
      <c r="K27" s="7">
        <f t="shared" si="14"/>
        <v>747.1</v>
      </c>
      <c r="L27" s="7"/>
      <c r="M27" s="7">
        <f t="shared" si="14"/>
        <v>747.1</v>
      </c>
      <c r="N27" s="7"/>
      <c r="O27" s="7">
        <f t="shared" si="14"/>
        <v>747.1</v>
      </c>
      <c r="P27" s="7"/>
      <c r="Q27" s="7">
        <f t="shared" si="14"/>
        <v>747.1</v>
      </c>
    </row>
    <row r="28" spans="1:17" ht="35.25" customHeight="1" x14ac:dyDescent="0.25">
      <c r="A28" s="4"/>
      <c r="B28" s="4"/>
      <c r="C28" s="6" t="s">
        <v>35</v>
      </c>
      <c r="D28" s="4"/>
      <c r="E28" s="7">
        <f>ROUND(E21*0.2,2)</f>
        <v>373.55</v>
      </c>
      <c r="F28" s="7"/>
      <c r="G28" s="7">
        <f t="shared" ref="G28:Q28" si="15">ROUND(G21*0.2,2)</f>
        <v>373.55</v>
      </c>
      <c r="H28" s="7"/>
      <c r="I28" s="7">
        <f t="shared" si="15"/>
        <v>373.55</v>
      </c>
      <c r="J28" s="7"/>
      <c r="K28" s="7">
        <f t="shared" si="15"/>
        <v>373.55</v>
      </c>
      <c r="L28" s="7"/>
      <c r="M28" s="7">
        <f t="shared" si="15"/>
        <v>373.55</v>
      </c>
      <c r="N28" s="7"/>
      <c r="O28" s="7">
        <f t="shared" si="15"/>
        <v>373.55</v>
      </c>
      <c r="P28" s="7"/>
      <c r="Q28" s="7">
        <f t="shared" si="15"/>
        <v>373.55</v>
      </c>
    </row>
    <row r="29" spans="1:17" x14ac:dyDescent="0.25">
      <c r="A29" s="4"/>
      <c r="B29" s="4"/>
      <c r="C29" s="4" t="s">
        <v>38</v>
      </c>
      <c r="D29" s="4"/>
      <c r="E29" s="7">
        <f>ROUND((E21+E22+E23++E24+E25+E26+E27+E28)*0.05,2)</f>
        <v>243.27</v>
      </c>
      <c r="F29" s="7"/>
      <c r="G29" s="7">
        <f t="shared" ref="G29:Q29" si="16">ROUND((G21+G22+G23++G24+G25+G26+G27+G28)*0.05,2)</f>
        <v>243.27</v>
      </c>
      <c r="H29" s="7"/>
      <c r="I29" s="7">
        <f t="shared" si="16"/>
        <v>243.27</v>
      </c>
      <c r="J29" s="7"/>
      <c r="K29" s="7">
        <f t="shared" si="16"/>
        <v>267.56</v>
      </c>
      <c r="L29" s="7"/>
      <c r="M29" s="7">
        <f t="shared" si="16"/>
        <v>243.27</v>
      </c>
      <c r="N29" s="7"/>
      <c r="O29" s="7">
        <f t="shared" si="16"/>
        <v>243.27</v>
      </c>
      <c r="P29" s="7"/>
      <c r="Q29" s="7">
        <f t="shared" si="16"/>
        <v>267.56</v>
      </c>
    </row>
    <row r="30" spans="1:17" ht="30" x14ac:dyDescent="0.25">
      <c r="A30" s="4"/>
      <c r="B30" s="4"/>
      <c r="C30" s="6" t="s">
        <v>39</v>
      </c>
      <c r="D30" s="4"/>
      <c r="E30" s="3">
        <f>ROUND((E21+E22+E23+E24+E25+E26+E27+E28)*0.01,2)</f>
        <v>48.65</v>
      </c>
      <c r="F30" s="3"/>
      <c r="G30" s="3">
        <f t="shared" ref="G30:Q30" si="17">ROUND((G21+G22+G23+G24+G25+G26+G27+G28)*0.01,2)</f>
        <v>48.65</v>
      </c>
      <c r="H30" s="3"/>
      <c r="I30" s="3">
        <f t="shared" si="17"/>
        <v>48.65</v>
      </c>
      <c r="J30" s="3"/>
      <c r="K30" s="3">
        <f t="shared" si="17"/>
        <v>53.51</v>
      </c>
      <c r="L30" s="3"/>
      <c r="M30" s="3">
        <f t="shared" si="17"/>
        <v>48.65</v>
      </c>
      <c r="N30" s="3"/>
      <c r="O30" s="3">
        <f t="shared" si="17"/>
        <v>48.65</v>
      </c>
      <c r="P30" s="3"/>
      <c r="Q30" s="3">
        <f t="shared" si="17"/>
        <v>53.51</v>
      </c>
    </row>
    <row r="31" spans="1:17" ht="52.5" customHeight="1" x14ac:dyDescent="0.25">
      <c r="A31" s="4"/>
      <c r="B31" s="4"/>
      <c r="C31" s="6" t="s">
        <v>40</v>
      </c>
      <c r="D31" s="4"/>
      <c r="E31" s="7">
        <f>ROUND((E21+E22+E24+E25+E26+E27+E28+E29+E30)*0.302,2)</f>
        <v>1557.54</v>
      </c>
      <c r="F31" s="7"/>
      <c r="G31" s="7">
        <f t="shared" ref="G31:Q31" si="18">ROUND((G21+G22+G24+G25+G26+G27+G28+G29+G30)*0.302,2)</f>
        <v>1557.54</v>
      </c>
      <c r="H31" s="7"/>
      <c r="I31" s="7">
        <f t="shared" si="18"/>
        <v>1557.54</v>
      </c>
      <c r="J31" s="7"/>
      <c r="K31" s="7">
        <f t="shared" si="18"/>
        <v>1566.34</v>
      </c>
      <c r="L31" s="7"/>
      <c r="M31" s="7">
        <f t="shared" si="18"/>
        <v>1557.54</v>
      </c>
      <c r="N31" s="7"/>
      <c r="O31" s="7">
        <f t="shared" si="18"/>
        <v>1557.54</v>
      </c>
      <c r="P31" s="7"/>
      <c r="Q31" s="7">
        <f t="shared" si="18"/>
        <v>1566.34</v>
      </c>
    </row>
    <row r="32" spans="1:17" x14ac:dyDescent="0.25">
      <c r="A32" s="4"/>
      <c r="B32" s="4"/>
      <c r="C32" s="10" t="s">
        <v>8</v>
      </c>
      <c r="D32" s="4"/>
      <c r="E32" s="7">
        <f>E21+E22+E23+E24+E25+E26+E27+E29+E30+E28+E31</f>
        <v>6714.9500000000007</v>
      </c>
      <c r="F32" s="7"/>
      <c r="G32" s="7">
        <f t="shared" ref="G32:Q32" si="19">G21+G22+G23+G24+G25+G26+G27+G29+G30+G28+G31</f>
        <v>6714.9500000000007</v>
      </c>
      <c r="H32" s="7"/>
      <c r="I32" s="7">
        <f t="shared" si="19"/>
        <v>6714.9500000000007</v>
      </c>
      <c r="J32" s="7"/>
      <c r="K32" s="7">
        <f t="shared" si="19"/>
        <v>7238.52</v>
      </c>
      <c r="L32" s="7"/>
      <c r="M32" s="7">
        <f t="shared" si="19"/>
        <v>6714.9500000000007</v>
      </c>
      <c r="N32" s="7"/>
      <c r="O32" s="7">
        <f t="shared" si="19"/>
        <v>6714.9500000000007</v>
      </c>
      <c r="P32" s="7"/>
      <c r="Q32" s="7">
        <f t="shared" si="19"/>
        <v>7238.52</v>
      </c>
    </row>
    <row r="33" spans="1:17" x14ac:dyDescent="0.25">
      <c r="A33" s="4"/>
      <c r="B33" s="4"/>
      <c r="C33" s="10" t="s">
        <v>9</v>
      </c>
      <c r="D33" s="4"/>
      <c r="E33" s="7">
        <f>ROUND(E32*12,2)</f>
        <v>80579.399999999994</v>
      </c>
      <c r="F33" s="5"/>
      <c r="G33" s="7">
        <f>ROUND(G32*12,2)</f>
        <v>80579.399999999994</v>
      </c>
      <c r="H33" s="4"/>
      <c r="I33" s="7">
        <f>ROUND(I32*12,2)</f>
        <v>80579.399999999994</v>
      </c>
      <c r="J33" s="16"/>
      <c r="K33" s="7">
        <f>ROUND(K32*12,2)</f>
        <v>86862.24</v>
      </c>
      <c r="L33" s="16"/>
      <c r="M33" s="14">
        <f>ROUND(M32*12,2)</f>
        <v>80579.399999999994</v>
      </c>
      <c r="N33" s="16"/>
      <c r="O33" s="14">
        <f>ROUND(O32*12,2)</f>
        <v>80579.399999999994</v>
      </c>
      <c r="P33" s="16"/>
      <c r="Q33" s="7">
        <f>ROUND(Q32*12,2)</f>
        <v>86862.24</v>
      </c>
    </row>
    <row r="34" spans="1:17" ht="45" x14ac:dyDescent="0.25">
      <c r="A34" s="3">
        <v>3</v>
      </c>
      <c r="B34" s="6" t="s">
        <v>14</v>
      </c>
      <c r="C34" s="6" t="s">
        <v>22</v>
      </c>
      <c r="D34" s="3">
        <v>0.125</v>
      </c>
      <c r="E34" s="7">
        <f>ROUND(7471*D34,2)</f>
        <v>933.88</v>
      </c>
      <c r="F34" s="19"/>
      <c r="G34" s="7">
        <f>ROUND(7471*F34,2)</f>
        <v>0</v>
      </c>
      <c r="H34" s="19">
        <v>0.125</v>
      </c>
      <c r="I34" s="7">
        <f>ROUND(7471*H34,2)</f>
        <v>933.88</v>
      </c>
      <c r="J34" s="20">
        <v>0.125</v>
      </c>
      <c r="K34" s="7">
        <f>ROUND(7471*J34,2)</f>
        <v>933.88</v>
      </c>
      <c r="L34" s="20"/>
      <c r="M34" s="7">
        <f>ROUND(7471*L34,2)</f>
        <v>0</v>
      </c>
      <c r="N34" s="20">
        <v>0.125</v>
      </c>
      <c r="O34" s="7">
        <f>ROUND(7471*N34,2)</f>
        <v>933.88</v>
      </c>
      <c r="P34" s="20">
        <v>0.125</v>
      </c>
      <c r="Q34" s="7">
        <f>ROUND(7471*P34,2)</f>
        <v>933.88</v>
      </c>
    </row>
    <row r="35" spans="1:17" ht="45" x14ac:dyDescent="0.25">
      <c r="A35" s="4"/>
      <c r="B35" s="4"/>
      <c r="C35" s="6" t="s">
        <v>36</v>
      </c>
      <c r="D35" s="4"/>
      <c r="E35" s="7">
        <f>ROUND(E34*0.3,2)</f>
        <v>280.16000000000003</v>
      </c>
      <c r="F35" s="5"/>
      <c r="G35" s="7">
        <f>ROUND(G34*0.3,2)</f>
        <v>0</v>
      </c>
      <c r="H35" s="4"/>
      <c r="I35" s="7">
        <f>ROUND(I34*0.3,2)</f>
        <v>280.16000000000003</v>
      </c>
      <c r="J35" s="16"/>
      <c r="K35" s="7">
        <f>ROUND(K34*0.3,2)</f>
        <v>280.16000000000003</v>
      </c>
      <c r="L35" s="16"/>
      <c r="M35" s="14">
        <f>ROUND(M34*0.3,2)</f>
        <v>0</v>
      </c>
      <c r="N35" s="16"/>
      <c r="O35" s="14">
        <f>ROUND(O34*0.3,2)</f>
        <v>280.16000000000003</v>
      </c>
      <c r="P35" s="16"/>
      <c r="Q35" s="7">
        <f>ROUND(Q34*0.3,2)</f>
        <v>280.16000000000003</v>
      </c>
    </row>
    <row r="36" spans="1:17" ht="60" x14ac:dyDescent="0.25">
      <c r="A36" s="4"/>
      <c r="B36" s="4"/>
      <c r="C36" s="6" t="s">
        <v>46</v>
      </c>
      <c r="D36" s="4"/>
      <c r="E36" s="7"/>
      <c r="F36" s="5"/>
      <c r="G36" s="7"/>
      <c r="H36" s="4"/>
      <c r="I36" s="7"/>
      <c r="J36" s="16"/>
      <c r="K36" s="7">
        <f>ROUND((K34+K35)*0.2,2)</f>
        <v>242.81</v>
      </c>
      <c r="L36" s="16"/>
      <c r="M36" s="14"/>
      <c r="N36" s="16"/>
      <c r="O36" s="14"/>
      <c r="P36" s="16"/>
      <c r="Q36" s="7">
        <f>ROUND((Q34+Q35)*0.2,2)</f>
        <v>242.81</v>
      </c>
    </row>
    <row r="37" spans="1:17" ht="60" x14ac:dyDescent="0.25">
      <c r="A37" s="4"/>
      <c r="B37" s="4"/>
      <c r="C37" s="6" t="s">
        <v>37</v>
      </c>
      <c r="D37" s="4"/>
      <c r="E37" s="7">
        <f>ROUND((E34+E35)*0.3,2)</f>
        <v>364.21</v>
      </c>
      <c r="F37" s="5"/>
      <c r="G37" s="7">
        <f>ROUND((G34+G35)*0.3,2)</f>
        <v>0</v>
      </c>
      <c r="H37" s="4"/>
      <c r="I37" s="7">
        <f>ROUND((I34+I35)*0.3,2)</f>
        <v>364.21</v>
      </c>
      <c r="J37" s="16"/>
      <c r="K37" s="7">
        <f>ROUND((K34+K35)*0.3,2)</f>
        <v>364.21</v>
      </c>
      <c r="L37" s="16"/>
      <c r="M37" s="14">
        <f>ROUND((M34+M35)*0.3,2)</f>
        <v>0</v>
      </c>
      <c r="N37" s="16"/>
      <c r="O37" s="14">
        <f>ROUND((O34+O35)*0.3,2)</f>
        <v>364.21</v>
      </c>
      <c r="P37" s="16"/>
      <c r="Q37" s="7">
        <f>ROUND((Q34+Q35)*0.3,2)</f>
        <v>364.21</v>
      </c>
    </row>
    <row r="38" spans="1:17" ht="36" customHeight="1" x14ac:dyDescent="0.25">
      <c r="A38" s="4"/>
      <c r="B38" s="4"/>
      <c r="C38" s="6" t="s">
        <v>57</v>
      </c>
      <c r="D38" s="4"/>
      <c r="E38" s="7">
        <f>ROUND(E34*0.25,2)</f>
        <v>233.47</v>
      </c>
      <c r="F38" s="7"/>
      <c r="G38" s="7">
        <f t="shared" ref="G38:O38" si="20">ROUND(G34*0.25,2)</f>
        <v>0</v>
      </c>
      <c r="H38" s="7"/>
      <c r="I38" s="7">
        <f t="shared" si="20"/>
        <v>233.47</v>
      </c>
      <c r="J38" s="7"/>
      <c r="K38" s="7">
        <f t="shared" ref="K38" si="21">ROUND(K34*0.25,2)</f>
        <v>233.47</v>
      </c>
      <c r="L38" s="7"/>
      <c r="M38" s="14">
        <f t="shared" si="20"/>
        <v>0</v>
      </c>
      <c r="N38" s="14"/>
      <c r="O38" s="14">
        <f t="shared" si="20"/>
        <v>233.47</v>
      </c>
      <c r="P38" s="7"/>
      <c r="Q38" s="7">
        <f t="shared" ref="Q38" si="22">ROUND(Q34*0.25,2)</f>
        <v>233.47</v>
      </c>
    </row>
    <row r="39" spans="1:17" ht="75" x14ac:dyDescent="0.25">
      <c r="A39" s="4"/>
      <c r="B39" s="4"/>
      <c r="C39" s="6" t="s">
        <v>33</v>
      </c>
      <c r="D39" s="4"/>
      <c r="E39" s="7">
        <f>ROUND((E34+E35)*0.05,2)</f>
        <v>60.7</v>
      </c>
      <c r="F39" s="7"/>
      <c r="G39" s="7">
        <f t="shared" ref="G39:Q39" si="23">ROUND((G34+G35)*0.05,2)</f>
        <v>0</v>
      </c>
      <c r="H39" s="7"/>
      <c r="I39" s="7">
        <f t="shared" si="23"/>
        <v>60.7</v>
      </c>
      <c r="J39" s="7"/>
      <c r="K39" s="7">
        <f t="shared" si="23"/>
        <v>60.7</v>
      </c>
      <c r="L39" s="7"/>
      <c r="M39" s="7">
        <f t="shared" si="23"/>
        <v>0</v>
      </c>
      <c r="N39" s="7"/>
      <c r="O39" s="7">
        <f t="shared" si="23"/>
        <v>60.7</v>
      </c>
      <c r="P39" s="7"/>
      <c r="Q39" s="7">
        <f t="shared" si="23"/>
        <v>60.7</v>
      </c>
    </row>
    <row r="40" spans="1:17" ht="45" x14ac:dyDescent="0.25">
      <c r="A40" s="4"/>
      <c r="B40" s="4"/>
      <c r="C40" s="6" t="s">
        <v>34</v>
      </c>
      <c r="D40" s="4"/>
      <c r="E40" s="7">
        <f>ROUND(E34*0.4,2)</f>
        <v>373.55</v>
      </c>
      <c r="F40" s="7"/>
      <c r="G40" s="7">
        <f t="shared" ref="G40:Q40" si="24">ROUND(G34*0.4,2)</f>
        <v>0</v>
      </c>
      <c r="H40" s="7"/>
      <c r="I40" s="7">
        <f t="shared" si="24"/>
        <v>373.55</v>
      </c>
      <c r="J40" s="7"/>
      <c r="K40" s="7">
        <f t="shared" si="24"/>
        <v>373.55</v>
      </c>
      <c r="L40" s="7"/>
      <c r="M40" s="7">
        <f t="shared" si="24"/>
        <v>0</v>
      </c>
      <c r="N40" s="7"/>
      <c r="O40" s="7">
        <f t="shared" si="24"/>
        <v>373.55</v>
      </c>
      <c r="P40" s="7"/>
      <c r="Q40" s="7">
        <f t="shared" si="24"/>
        <v>373.55</v>
      </c>
    </row>
    <row r="41" spans="1:17" ht="36.75" customHeight="1" x14ac:dyDescent="0.25">
      <c r="A41" s="4"/>
      <c r="B41" s="4"/>
      <c r="C41" s="6" t="s">
        <v>35</v>
      </c>
      <c r="D41" s="4"/>
      <c r="E41" s="7">
        <f>ROUND(E34*0.2,2)</f>
        <v>186.78</v>
      </c>
      <c r="F41" s="7"/>
      <c r="G41" s="7">
        <f t="shared" ref="G41:Q41" si="25">ROUND(G34*0.2,2)</f>
        <v>0</v>
      </c>
      <c r="H41" s="7"/>
      <c r="I41" s="7">
        <f t="shared" si="25"/>
        <v>186.78</v>
      </c>
      <c r="J41" s="7"/>
      <c r="K41" s="7">
        <f t="shared" si="25"/>
        <v>186.78</v>
      </c>
      <c r="L41" s="7"/>
      <c r="M41" s="7">
        <f t="shared" si="25"/>
        <v>0</v>
      </c>
      <c r="N41" s="7"/>
      <c r="O41" s="7">
        <f t="shared" si="25"/>
        <v>186.78</v>
      </c>
      <c r="P41" s="7"/>
      <c r="Q41" s="7">
        <f t="shared" si="25"/>
        <v>186.78</v>
      </c>
    </row>
    <row r="42" spans="1:17" ht="26.25" customHeight="1" x14ac:dyDescent="0.25">
      <c r="A42" s="4"/>
      <c r="B42" s="4"/>
      <c r="C42" s="4" t="s">
        <v>38</v>
      </c>
      <c r="D42" s="4"/>
      <c r="E42" s="7">
        <f>ROUND((E34+E35+E36+E37+E38+E39+E40+E41)*0.05,2)</f>
        <v>121.64</v>
      </c>
      <c r="F42" s="7"/>
      <c r="G42" s="7">
        <f t="shared" ref="G42:Q42" si="26">ROUND((G34+G35+G36+G37+G38+G39+G40+G41)*0.05,2)</f>
        <v>0</v>
      </c>
      <c r="H42" s="7"/>
      <c r="I42" s="7">
        <f t="shared" si="26"/>
        <v>121.64</v>
      </c>
      <c r="J42" s="7"/>
      <c r="K42" s="7">
        <f t="shared" si="26"/>
        <v>133.78</v>
      </c>
      <c r="L42" s="7"/>
      <c r="M42" s="7">
        <f t="shared" si="26"/>
        <v>0</v>
      </c>
      <c r="N42" s="7"/>
      <c r="O42" s="7">
        <f t="shared" si="26"/>
        <v>121.64</v>
      </c>
      <c r="P42" s="7"/>
      <c r="Q42" s="7">
        <f t="shared" si="26"/>
        <v>133.78</v>
      </c>
    </row>
    <row r="43" spans="1:17" ht="30" x14ac:dyDescent="0.25">
      <c r="A43" s="4"/>
      <c r="B43" s="4"/>
      <c r="C43" s="6" t="s">
        <v>39</v>
      </c>
      <c r="D43" s="4"/>
      <c r="E43" s="3">
        <f>ROUND((E34+E35+E36+E37+E38+E39+E40+E41)*0.01,2)</f>
        <v>24.33</v>
      </c>
      <c r="F43" s="3"/>
      <c r="G43" s="3">
        <f t="shared" ref="G43:Q43" si="27">ROUND((G34+G35+G36+G37+G38+G39+G40+G41)*0.01,2)</f>
        <v>0</v>
      </c>
      <c r="H43" s="3"/>
      <c r="I43" s="3">
        <f t="shared" si="27"/>
        <v>24.33</v>
      </c>
      <c r="J43" s="3"/>
      <c r="K43" s="3">
        <f t="shared" si="27"/>
        <v>26.76</v>
      </c>
      <c r="L43" s="3"/>
      <c r="M43" s="3">
        <f t="shared" si="27"/>
        <v>0</v>
      </c>
      <c r="N43" s="3"/>
      <c r="O43" s="3">
        <f t="shared" si="27"/>
        <v>24.33</v>
      </c>
      <c r="P43" s="3"/>
      <c r="Q43" s="3">
        <f t="shared" si="27"/>
        <v>26.76</v>
      </c>
    </row>
    <row r="44" spans="1:17" ht="55.5" customHeight="1" x14ac:dyDescent="0.25">
      <c r="A44" s="4"/>
      <c r="B44" s="4"/>
      <c r="C44" s="6" t="s">
        <v>40</v>
      </c>
      <c r="D44" s="4"/>
      <c r="E44" s="7">
        <f>ROUND((E34+E36+E37+E38+E39+E40+E41+E42+E43)*0.302,2)</f>
        <v>694.17</v>
      </c>
      <c r="F44" s="7"/>
      <c r="G44" s="7">
        <f t="shared" ref="G44:Q44" si="28">ROUND((G34+G36+G37+G38+G39+G40+G41+G42+G43)*0.302,2)</f>
        <v>0</v>
      </c>
      <c r="H44" s="7"/>
      <c r="I44" s="7">
        <f t="shared" si="28"/>
        <v>694.17</v>
      </c>
      <c r="J44" s="7"/>
      <c r="K44" s="7">
        <f t="shared" si="28"/>
        <v>771.89</v>
      </c>
      <c r="L44" s="7"/>
      <c r="M44" s="7">
        <f t="shared" si="28"/>
        <v>0</v>
      </c>
      <c r="N44" s="7"/>
      <c r="O44" s="7">
        <f t="shared" si="28"/>
        <v>694.17</v>
      </c>
      <c r="P44" s="7"/>
      <c r="Q44" s="7">
        <f t="shared" si="28"/>
        <v>771.89</v>
      </c>
    </row>
    <row r="45" spans="1:17" x14ac:dyDescent="0.25">
      <c r="A45" s="4"/>
      <c r="B45" s="4"/>
      <c r="C45" s="10" t="s">
        <v>8</v>
      </c>
      <c r="D45" s="4"/>
      <c r="E45" s="7">
        <f>E34+E35+E36+E37+E38+E39+E40+E42+E43+E41+E44</f>
        <v>3272.8900000000003</v>
      </c>
      <c r="F45" s="7"/>
      <c r="G45" s="7">
        <f t="shared" ref="G45:Q45" si="29">G34+G35+G36+G37+G38+G39+G40+G42+G43+G41+G44</f>
        <v>0</v>
      </c>
      <c r="H45" s="7"/>
      <c r="I45" s="7">
        <f t="shared" si="29"/>
        <v>3272.8900000000003</v>
      </c>
      <c r="J45" s="7"/>
      <c r="K45" s="7">
        <f t="shared" si="29"/>
        <v>3607.9900000000002</v>
      </c>
      <c r="L45" s="7"/>
      <c r="M45" s="7">
        <f t="shared" si="29"/>
        <v>0</v>
      </c>
      <c r="N45" s="7"/>
      <c r="O45" s="7">
        <f t="shared" si="29"/>
        <v>3272.8900000000003</v>
      </c>
      <c r="P45" s="7"/>
      <c r="Q45" s="7">
        <f t="shared" si="29"/>
        <v>3607.9900000000002</v>
      </c>
    </row>
    <row r="46" spans="1:17" x14ac:dyDescent="0.25">
      <c r="A46" s="4"/>
      <c r="B46" s="4"/>
      <c r="C46" s="10" t="s">
        <v>9</v>
      </c>
      <c r="D46" s="4"/>
      <c r="E46" s="7">
        <f>ROUND(E45*12,2)</f>
        <v>39274.68</v>
      </c>
      <c r="F46" s="5"/>
      <c r="G46" s="7">
        <f>ROUND(G45*12,2)</f>
        <v>0</v>
      </c>
      <c r="H46" s="4"/>
      <c r="I46" s="7">
        <f>ROUND(I45*12,2)</f>
        <v>39274.68</v>
      </c>
      <c r="J46" s="16"/>
      <c r="K46" s="7">
        <f>ROUND(K45*12,2)</f>
        <v>43295.88</v>
      </c>
      <c r="L46" s="16"/>
      <c r="M46" s="14">
        <f>ROUND(M45*12,2)</f>
        <v>0</v>
      </c>
      <c r="N46" s="16"/>
      <c r="O46" s="14">
        <f>ROUND(O45*12,2)</f>
        <v>39274.68</v>
      </c>
      <c r="P46" s="16"/>
      <c r="Q46" s="7">
        <f>ROUND(Q45*12,2)</f>
        <v>43295.88</v>
      </c>
    </row>
    <row r="47" spans="1:17" ht="65.25" customHeight="1" x14ac:dyDescent="0.25">
      <c r="A47" s="3">
        <v>4</v>
      </c>
      <c r="B47" s="6" t="s">
        <v>11</v>
      </c>
      <c r="C47" s="6" t="s">
        <v>22</v>
      </c>
      <c r="D47" s="4"/>
      <c r="E47" s="7"/>
      <c r="F47" s="5"/>
      <c r="G47" s="7"/>
      <c r="H47" s="3"/>
      <c r="I47" s="7"/>
      <c r="J47" s="3">
        <v>1</v>
      </c>
      <c r="K47" s="7">
        <v>8621</v>
      </c>
      <c r="L47" s="16"/>
      <c r="M47" s="14"/>
      <c r="N47" s="16"/>
      <c r="O47" s="14"/>
      <c r="P47" s="3">
        <v>1</v>
      </c>
      <c r="Q47" s="7">
        <v>8621</v>
      </c>
    </row>
    <row r="48" spans="1:17" ht="45" x14ac:dyDescent="0.25">
      <c r="A48" s="4"/>
      <c r="B48" s="4"/>
      <c r="C48" s="6" t="s">
        <v>36</v>
      </c>
      <c r="D48" s="4"/>
      <c r="E48" s="7"/>
      <c r="F48" s="5"/>
      <c r="G48" s="7"/>
      <c r="H48" s="4"/>
      <c r="I48" s="7"/>
      <c r="J48" s="4"/>
      <c r="K48" s="7">
        <f>ROUND(K47*0.3,2)</f>
        <v>2586.3000000000002</v>
      </c>
      <c r="L48" s="16"/>
      <c r="M48" s="14"/>
      <c r="N48" s="16"/>
      <c r="O48" s="14"/>
      <c r="P48" s="4"/>
      <c r="Q48" s="7">
        <f>ROUND(Q47*0.3,2)</f>
        <v>2586.3000000000002</v>
      </c>
    </row>
    <row r="49" spans="1:17" ht="41.25" customHeight="1" x14ac:dyDescent="0.25">
      <c r="A49" s="4"/>
      <c r="B49" s="4"/>
      <c r="C49" s="6" t="s">
        <v>46</v>
      </c>
      <c r="D49" s="4"/>
      <c r="E49" s="7"/>
      <c r="F49" s="5"/>
      <c r="G49" s="7"/>
      <c r="H49" s="4"/>
      <c r="I49" s="7"/>
      <c r="J49" s="4"/>
      <c r="K49" s="7">
        <f>ROUND((K47+K48)*0.2,2)</f>
        <v>2241.46</v>
      </c>
      <c r="L49" s="16"/>
      <c r="M49" s="14"/>
      <c r="N49" s="16"/>
      <c r="O49" s="14"/>
      <c r="P49" s="4"/>
      <c r="Q49" s="7">
        <f>ROUND((Q47+Q48)*0.2,2)</f>
        <v>2241.46</v>
      </c>
    </row>
    <row r="50" spans="1:17" ht="60" x14ac:dyDescent="0.25">
      <c r="A50" s="4"/>
      <c r="B50" s="4"/>
      <c r="C50" s="6" t="s">
        <v>37</v>
      </c>
      <c r="D50" s="4"/>
      <c r="E50" s="7"/>
      <c r="F50" s="5"/>
      <c r="G50" s="7"/>
      <c r="H50" s="4"/>
      <c r="I50" s="7"/>
      <c r="J50" s="4"/>
      <c r="K50" s="7">
        <f>ROUND((K47+K48)*0.3,2)</f>
        <v>3362.19</v>
      </c>
      <c r="L50" s="16"/>
      <c r="M50" s="14"/>
      <c r="N50" s="16"/>
      <c r="O50" s="14"/>
      <c r="P50" s="4"/>
      <c r="Q50" s="7">
        <f>ROUND((Q47+Q48)*0.3,2)</f>
        <v>3362.19</v>
      </c>
    </row>
    <row r="51" spans="1:17" ht="36" customHeight="1" x14ac:dyDescent="0.25">
      <c r="A51" s="4"/>
      <c r="B51" s="4"/>
      <c r="C51" s="6" t="s">
        <v>57</v>
      </c>
      <c r="D51" s="4"/>
      <c r="E51" s="7"/>
      <c r="F51" s="5"/>
      <c r="G51" s="7"/>
      <c r="H51" s="4"/>
      <c r="I51" s="7"/>
      <c r="J51" s="4"/>
      <c r="K51" s="7">
        <f t="shared" ref="K51" si="30">ROUND(K47*0.25,2)</f>
        <v>2155.25</v>
      </c>
      <c r="L51" s="16"/>
      <c r="M51" s="14"/>
      <c r="N51" s="16"/>
      <c r="O51" s="14"/>
      <c r="P51" s="4"/>
      <c r="Q51" s="7">
        <f t="shared" ref="Q51" si="31">ROUND(Q47*0.25,2)</f>
        <v>2155.25</v>
      </c>
    </row>
    <row r="52" spans="1:17" ht="75" x14ac:dyDescent="0.25">
      <c r="A52" s="4"/>
      <c r="B52" s="4"/>
      <c r="C52" s="6" t="s">
        <v>33</v>
      </c>
      <c r="D52" s="4"/>
      <c r="E52" s="7"/>
      <c r="F52" s="5"/>
      <c r="G52" s="7"/>
      <c r="H52" s="4"/>
      <c r="I52" s="7"/>
      <c r="J52" s="4"/>
      <c r="K52" s="7">
        <f>ROUND((K47+K48)*0.05,2)</f>
        <v>560.37</v>
      </c>
      <c r="L52" s="16"/>
      <c r="M52" s="14"/>
      <c r="N52" s="16"/>
      <c r="O52" s="14"/>
      <c r="P52" s="4"/>
      <c r="Q52" s="7">
        <f>ROUND((Q47+Q48)*0.05,2)</f>
        <v>560.37</v>
      </c>
    </row>
    <row r="53" spans="1:17" ht="45" x14ac:dyDescent="0.25">
      <c r="A53" s="4"/>
      <c r="B53" s="4"/>
      <c r="C53" s="6" t="s">
        <v>34</v>
      </c>
      <c r="D53" s="4"/>
      <c r="E53" s="7"/>
      <c r="F53" s="5"/>
      <c r="G53" s="7"/>
      <c r="H53" s="4"/>
      <c r="I53" s="7"/>
      <c r="J53" s="4"/>
      <c r="K53" s="7">
        <f>ROUND(K47*0.4,2)</f>
        <v>3448.4</v>
      </c>
      <c r="L53" s="16"/>
      <c r="M53" s="14"/>
      <c r="N53" s="16"/>
      <c r="O53" s="14"/>
      <c r="P53" s="4"/>
      <c r="Q53" s="7">
        <f>ROUND(Q47*0.2,2)</f>
        <v>1724.2</v>
      </c>
    </row>
    <row r="54" spans="1:17" ht="39.75" customHeight="1" x14ac:dyDescent="0.25">
      <c r="A54" s="4"/>
      <c r="B54" s="4"/>
      <c r="C54" s="6" t="s">
        <v>35</v>
      </c>
      <c r="D54" s="4"/>
      <c r="E54" s="7"/>
      <c r="F54" s="5"/>
      <c r="G54" s="7"/>
      <c r="H54" s="4"/>
      <c r="I54" s="7"/>
      <c r="J54" s="4"/>
      <c r="K54" s="7">
        <f>ROUND(K47*0.2,2)</f>
        <v>1724.2</v>
      </c>
      <c r="L54" s="16"/>
      <c r="M54" s="14"/>
      <c r="N54" s="16"/>
      <c r="O54" s="14"/>
      <c r="P54" s="4"/>
      <c r="Q54" s="7">
        <f>ROUND(Q47*0.504,2)</f>
        <v>4344.9799999999996</v>
      </c>
    </row>
    <row r="55" spans="1:17" x14ac:dyDescent="0.25">
      <c r="A55" s="4"/>
      <c r="B55" s="4"/>
      <c r="C55" s="4" t="s">
        <v>38</v>
      </c>
      <c r="D55" s="4"/>
      <c r="E55" s="7"/>
      <c r="F55" s="5"/>
      <c r="G55" s="7"/>
      <c r="H55" s="4"/>
      <c r="I55" s="7"/>
      <c r="J55" s="4"/>
      <c r="K55" s="7">
        <f>ROUND((K47+K48+K49+K50+K51+K52+K53+K54)*0.05,2)</f>
        <v>1234.96</v>
      </c>
      <c r="L55" s="16"/>
      <c r="M55" s="14"/>
      <c r="N55" s="16"/>
      <c r="O55" s="14"/>
      <c r="P55" s="4"/>
      <c r="Q55" s="7">
        <f>ROUND((Q47+Q48+Q49+Q50+Q51+Q52+Q53+Q54)*0.05,2)</f>
        <v>1279.79</v>
      </c>
    </row>
    <row r="56" spans="1:17" ht="36.75" customHeight="1" x14ac:dyDescent="0.25">
      <c r="A56" s="4"/>
      <c r="B56" s="4"/>
      <c r="C56" s="6" t="s">
        <v>39</v>
      </c>
      <c r="D56" s="4"/>
      <c r="E56" s="7"/>
      <c r="F56" s="5"/>
      <c r="G56" s="7"/>
      <c r="H56" s="4"/>
      <c r="I56" s="12"/>
      <c r="J56" s="4"/>
      <c r="K56" s="22">
        <f>ROUND((K47+K48+K49+K50+K51+K52+K53+K54)*0.01,2)</f>
        <v>246.99</v>
      </c>
      <c r="L56" s="16"/>
      <c r="M56" s="14"/>
      <c r="N56" s="16"/>
      <c r="O56" s="14"/>
      <c r="P56" s="4"/>
      <c r="Q56" s="22">
        <f>ROUND((Q47+Q48+Q49+Q50+Q51+Q52+Q53+Q54)*0.01,2)</f>
        <v>255.96</v>
      </c>
    </row>
    <row r="57" spans="1:17" ht="30" x14ac:dyDescent="0.25">
      <c r="A57" s="4"/>
      <c r="B57" s="4"/>
      <c r="C57" s="6" t="s">
        <v>40</v>
      </c>
      <c r="D57" s="4"/>
      <c r="E57" s="7"/>
      <c r="F57" s="5"/>
      <c r="G57" s="7"/>
      <c r="H57" s="4"/>
      <c r="I57" s="7"/>
      <c r="J57" s="4"/>
      <c r="K57" s="7">
        <f>ROUND((K47+K48+K49+K50+K51+K52+K53+K54+K55+K56)*0.302,2)</f>
        <v>7906.7</v>
      </c>
      <c r="L57" s="7"/>
      <c r="M57" s="7"/>
      <c r="N57" s="7"/>
      <c r="O57" s="7"/>
      <c r="P57" s="7"/>
      <c r="Q57" s="7">
        <f t="shared" ref="Q57" si="32">ROUND((Q47+Q48+Q49+Q50+Q51+Q52+Q53+Q54+Q55+Q56)*0.302,2)</f>
        <v>8193.7099999999991</v>
      </c>
    </row>
    <row r="58" spans="1:17" x14ac:dyDescent="0.25">
      <c r="A58" s="4"/>
      <c r="B58" s="4"/>
      <c r="C58" s="10" t="s">
        <v>8</v>
      </c>
      <c r="D58" s="4"/>
      <c r="E58" s="7"/>
      <c r="F58" s="5"/>
      <c r="G58" s="7"/>
      <c r="H58" s="4"/>
      <c r="I58" s="7"/>
      <c r="J58" s="4"/>
      <c r="K58" s="7">
        <f>K47+K48+K49+K50+K51+K52+K53+K55+K56+K54+K57</f>
        <v>34087.82</v>
      </c>
      <c r="L58" s="16"/>
      <c r="M58" s="14"/>
      <c r="N58" s="16"/>
      <c r="O58" s="14"/>
      <c r="P58" s="4"/>
      <c r="Q58" s="7">
        <f>Q47+Q48+Q49+Q50+Q51+Q52+Q53+Q55+Q56+Q54+Q57</f>
        <v>35325.209999999992</v>
      </c>
    </row>
    <row r="59" spans="1:17" x14ac:dyDescent="0.25">
      <c r="A59" s="4"/>
      <c r="B59" s="4"/>
      <c r="C59" s="10" t="s">
        <v>9</v>
      </c>
      <c r="D59" s="4"/>
      <c r="E59" s="7"/>
      <c r="F59" s="5"/>
      <c r="G59" s="7"/>
      <c r="H59" s="4"/>
      <c r="I59" s="7"/>
      <c r="J59" s="4"/>
      <c r="K59" s="7">
        <f>ROUND(K58*12,2)</f>
        <v>409053.84</v>
      </c>
      <c r="L59" s="16"/>
      <c r="M59" s="14"/>
      <c r="N59" s="16"/>
      <c r="O59" s="14"/>
      <c r="P59" s="4"/>
      <c r="Q59" s="7">
        <f>ROUND(Q58*12,2)</f>
        <v>423902.52</v>
      </c>
    </row>
    <row r="60" spans="1:17" ht="30" x14ac:dyDescent="0.25">
      <c r="A60" s="3">
        <v>5</v>
      </c>
      <c r="B60" s="6" t="s">
        <v>12</v>
      </c>
      <c r="C60" s="6" t="s">
        <v>6</v>
      </c>
      <c r="D60" s="19">
        <v>8.3000000000000004E-2</v>
      </c>
      <c r="E60" s="7">
        <f>ROUND(8216*D60,2)</f>
        <v>681.93</v>
      </c>
      <c r="F60" s="19">
        <v>8.3000000000000004E-2</v>
      </c>
      <c r="G60" s="7">
        <f>ROUND(7900*F60,2)</f>
        <v>655.7</v>
      </c>
      <c r="H60" s="19">
        <v>8.3000000000000004E-2</v>
      </c>
      <c r="I60" s="7">
        <f>ROUND(7900*H60,2)</f>
        <v>655.7</v>
      </c>
      <c r="J60" s="19">
        <v>8.3000000000000004E-2</v>
      </c>
      <c r="K60" s="7">
        <f>ROUND(7900*J60,2)</f>
        <v>655.7</v>
      </c>
      <c r="L60" s="19">
        <v>8.3000000000000004E-2</v>
      </c>
      <c r="M60" s="14">
        <f>ROUND(7900*L60,2)</f>
        <v>655.7</v>
      </c>
      <c r="N60" s="20">
        <v>8.3000000000000004E-2</v>
      </c>
      <c r="O60" s="14">
        <f>ROUND(7900*N60,2)</f>
        <v>655.7</v>
      </c>
      <c r="P60" s="19">
        <v>8.3000000000000004E-2</v>
      </c>
      <c r="Q60" s="7">
        <f>ROUND(7900*P60,2)</f>
        <v>655.7</v>
      </c>
    </row>
    <row r="61" spans="1:17" ht="45" x14ac:dyDescent="0.25">
      <c r="A61" s="4"/>
      <c r="B61" s="4"/>
      <c r="C61" s="6" t="s">
        <v>41</v>
      </c>
      <c r="D61" s="4"/>
      <c r="E61" s="7">
        <f>ROUND(E60*0.3,2)</f>
        <v>204.58</v>
      </c>
      <c r="F61" s="5"/>
      <c r="G61" s="7">
        <f>ROUND(G60*0.3,2)</f>
        <v>196.71</v>
      </c>
      <c r="H61" s="4"/>
      <c r="I61" s="7">
        <f>ROUND(I60*0.3,2)</f>
        <v>196.71</v>
      </c>
      <c r="J61" s="16"/>
      <c r="K61" s="7">
        <f>ROUND(K60*0.3,2)</f>
        <v>196.71</v>
      </c>
      <c r="L61" s="16"/>
      <c r="M61" s="14">
        <f>ROUND(M60*0.3,2)</f>
        <v>196.71</v>
      </c>
      <c r="N61" s="16"/>
      <c r="O61" s="14">
        <f>ROUND(O60*0.3,2)</f>
        <v>196.71</v>
      </c>
      <c r="P61" s="16"/>
      <c r="Q61" s="7">
        <f>ROUND(Q60*0.3,2)</f>
        <v>196.71</v>
      </c>
    </row>
    <row r="62" spans="1:17" ht="60" x14ac:dyDescent="0.25">
      <c r="A62" s="4"/>
      <c r="B62" s="4"/>
      <c r="C62" s="6" t="s">
        <v>42</v>
      </c>
      <c r="D62" s="4"/>
      <c r="E62" s="7"/>
      <c r="F62" s="5"/>
      <c r="G62" s="7"/>
      <c r="H62" s="4"/>
      <c r="I62" s="7"/>
      <c r="J62" s="16"/>
      <c r="K62" s="7">
        <f>ROUND((K60+K61)*0.2,2)</f>
        <v>170.48</v>
      </c>
      <c r="L62" s="16"/>
      <c r="M62" s="14"/>
      <c r="N62" s="16"/>
      <c r="O62" s="14"/>
      <c r="P62" s="16"/>
      <c r="Q62" s="7">
        <f>ROUND((Q60+Q61)*0.2,2)</f>
        <v>170.48</v>
      </c>
    </row>
    <row r="63" spans="1:17" ht="60" x14ac:dyDescent="0.25">
      <c r="A63" s="4"/>
      <c r="B63" s="4"/>
      <c r="C63" s="6" t="s">
        <v>48</v>
      </c>
      <c r="D63" s="4"/>
      <c r="E63" s="7">
        <f>ROUND((E60+E61)*0.3,2)</f>
        <v>265.95</v>
      </c>
      <c r="F63" s="5"/>
      <c r="G63" s="7">
        <f>ROUND((G60+G61)*0.3,2)</f>
        <v>255.72</v>
      </c>
      <c r="H63" s="4"/>
      <c r="I63" s="7">
        <f>ROUND((I60+I61)*0.3,2)</f>
        <v>255.72</v>
      </c>
      <c r="J63" s="16"/>
      <c r="K63" s="7">
        <f>ROUND((K60+K61)*0.3,2)</f>
        <v>255.72</v>
      </c>
      <c r="L63" s="16"/>
      <c r="M63" s="14">
        <f>ROUND((M60+M61)*0.3,2)</f>
        <v>255.72</v>
      </c>
      <c r="N63" s="16"/>
      <c r="O63" s="14">
        <f>ROUND((O60+O61)*0.3,2)</f>
        <v>255.72</v>
      </c>
      <c r="P63" s="16"/>
      <c r="Q63" s="7">
        <f>ROUND((Q60+Q61)*0.3,2)</f>
        <v>255.72</v>
      </c>
    </row>
    <row r="64" spans="1:17" ht="33.75" customHeight="1" x14ac:dyDescent="0.25">
      <c r="A64" s="4"/>
      <c r="B64" s="4"/>
      <c r="C64" s="6" t="s">
        <v>58</v>
      </c>
      <c r="D64" s="4"/>
      <c r="E64" s="7">
        <f>ROUND(E60*0.25,2)</f>
        <v>170.48</v>
      </c>
      <c r="F64" s="7"/>
      <c r="G64" s="7">
        <f t="shared" ref="G64:O64" si="33">ROUND(G60*0.25,2)</f>
        <v>163.93</v>
      </c>
      <c r="H64" s="7"/>
      <c r="I64" s="7">
        <f t="shared" si="33"/>
        <v>163.93</v>
      </c>
      <c r="J64" s="7"/>
      <c r="K64" s="7">
        <f t="shared" ref="K64" si="34">ROUND(K60*0.25,2)</f>
        <v>163.93</v>
      </c>
      <c r="L64" s="7"/>
      <c r="M64" s="14">
        <f t="shared" si="33"/>
        <v>163.93</v>
      </c>
      <c r="N64" s="14"/>
      <c r="O64" s="14">
        <f t="shared" si="33"/>
        <v>163.93</v>
      </c>
      <c r="P64" s="7"/>
      <c r="Q64" s="7">
        <f t="shared" ref="Q64" si="35">ROUND(Q60*0.25,2)</f>
        <v>163.93</v>
      </c>
    </row>
    <row r="65" spans="1:17" ht="75" x14ac:dyDescent="0.25">
      <c r="A65" s="4"/>
      <c r="B65" s="4"/>
      <c r="C65" s="6" t="s">
        <v>43</v>
      </c>
      <c r="D65" s="4"/>
      <c r="E65" s="7">
        <f>ROUND((E60+E61)*0.05,2)</f>
        <v>44.33</v>
      </c>
      <c r="F65" s="7"/>
      <c r="G65" s="7">
        <f t="shared" ref="G65:Q65" si="36">ROUND((G60+G61)*0.05,2)</f>
        <v>42.62</v>
      </c>
      <c r="H65" s="7"/>
      <c r="I65" s="7">
        <f t="shared" si="36"/>
        <v>42.62</v>
      </c>
      <c r="J65" s="7"/>
      <c r="K65" s="7">
        <f t="shared" si="36"/>
        <v>42.62</v>
      </c>
      <c r="L65" s="7"/>
      <c r="M65" s="7">
        <f t="shared" si="36"/>
        <v>42.62</v>
      </c>
      <c r="N65" s="7"/>
      <c r="O65" s="7">
        <f t="shared" si="36"/>
        <v>42.62</v>
      </c>
      <c r="P65" s="7"/>
      <c r="Q65" s="7">
        <f t="shared" si="36"/>
        <v>42.62</v>
      </c>
    </row>
    <row r="66" spans="1:17" ht="45" x14ac:dyDescent="0.25">
      <c r="A66" s="4"/>
      <c r="B66" s="4"/>
      <c r="C66" s="6" t="s">
        <v>44</v>
      </c>
      <c r="D66" s="4"/>
      <c r="E66" s="7">
        <f>ROUND(E60*0.4,2)</f>
        <v>272.77</v>
      </c>
      <c r="F66" s="7"/>
      <c r="G66" s="7">
        <f t="shared" ref="G66:Q66" si="37">ROUND(G60*0.4,2)</f>
        <v>262.27999999999997</v>
      </c>
      <c r="H66" s="7"/>
      <c r="I66" s="7">
        <f t="shared" si="37"/>
        <v>262.27999999999997</v>
      </c>
      <c r="J66" s="7"/>
      <c r="K66" s="7">
        <f t="shared" si="37"/>
        <v>262.27999999999997</v>
      </c>
      <c r="L66" s="7"/>
      <c r="M66" s="7">
        <f t="shared" si="37"/>
        <v>262.27999999999997</v>
      </c>
      <c r="N66" s="7"/>
      <c r="O66" s="7">
        <f t="shared" si="37"/>
        <v>262.27999999999997</v>
      </c>
      <c r="P66" s="7"/>
      <c r="Q66" s="7">
        <f t="shared" si="37"/>
        <v>262.27999999999997</v>
      </c>
    </row>
    <row r="67" spans="1:17" ht="52.5" customHeight="1" x14ac:dyDescent="0.25">
      <c r="A67" s="4"/>
      <c r="B67" s="4"/>
      <c r="C67" s="6" t="s">
        <v>45</v>
      </c>
      <c r="D67" s="4"/>
      <c r="E67" s="7">
        <f>ROUND(E60*0.2,2)</f>
        <v>136.38999999999999</v>
      </c>
      <c r="F67" s="7"/>
      <c r="G67" s="7">
        <f t="shared" ref="G67:Q67" si="38">ROUND(G60*0.2,2)</f>
        <v>131.13999999999999</v>
      </c>
      <c r="H67" s="7"/>
      <c r="I67" s="7">
        <f t="shared" si="38"/>
        <v>131.13999999999999</v>
      </c>
      <c r="J67" s="7"/>
      <c r="K67" s="7">
        <f t="shared" si="38"/>
        <v>131.13999999999999</v>
      </c>
      <c r="L67" s="7"/>
      <c r="M67" s="7">
        <f t="shared" si="38"/>
        <v>131.13999999999999</v>
      </c>
      <c r="N67" s="7"/>
      <c r="O67" s="7">
        <f t="shared" si="38"/>
        <v>131.13999999999999</v>
      </c>
      <c r="P67" s="7"/>
      <c r="Q67" s="7">
        <f t="shared" si="38"/>
        <v>131.13999999999999</v>
      </c>
    </row>
    <row r="68" spans="1:17" x14ac:dyDescent="0.25">
      <c r="A68" s="4"/>
      <c r="B68" s="4"/>
      <c r="C68" s="4" t="s">
        <v>38</v>
      </c>
      <c r="D68" s="4"/>
      <c r="E68" s="7">
        <f>ROUND((E60+E61+F62+E63+E64+E65+E66+E67)*0.05,2)</f>
        <v>88.82</v>
      </c>
      <c r="F68" s="7"/>
      <c r="G68" s="7">
        <f t="shared" ref="G68:Q68" si="39">ROUND((G60+G61+H62+G63+G64+G65+G66+G67)*0.05,2)</f>
        <v>85.41</v>
      </c>
      <c r="H68" s="7"/>
      <c r="I68" s="7">
        <f t="shared" si="39"/>
        <v>85.41</v>
      </c>
      <c r="J68" s="7"/>
      <c r="K68" s="7">
        <f t="shared" si="39"/>
        <v>85.41</v>
      </c>
      <c r="L68" s="7"/>
      <c r="M68" s="7">
        <f t="shared" si="39"/>
        <v>85.41</v>
      </c>
      <c r="N68" s="7"/>
      <c r="O68" s="7">
        <f t="shared" si="39"/>
        <v>85.41</v>
      </c>
      <c r="P68" s="7"/>
      <c r="Q68" s="7">
        <f t="shared" si="39"/>
        <v>85.41</v>
      </c>
    </row>
    <row r="69" spans="1:17" ht="30" x14ac:dyDescent="0.25">
      <c r="A69" s="4"/>
      <c r="B69" s="4"/>
      <c r="C69" s="6" t="s">
        <v>39</v>
      </c>
      <c r="D69" s="4"/>
      <c r="E69" s="3">
        <f>ROUND((E60+E61+E62+E63+E64+E65+E66+E67)*0.01,2)</f>
        <v>17.760000000000002</v>
      </c>
      <c r="F69" s="3"/>
      <c r="G69" s="3">
        <f t="shared" ref="G69:Q69" si="40">ROUND((G60+G61+G62+G63+G64+G65+G66+G67)*0.01,2)</f>
        <v>17.079999999999998</v>
      </c>
      <c r="H69" s="3"/>
      <c r="I69" s="3">
        <f t="shared" si="40"/>
        <v>17.079999999999998</v>
      </c>
      <c r="J69" s="3"/>
      <c r="K69" s="3">
        <f t="shared" si="40"/>
        <v>18.79</v>
      </c>
      <c r="L69" s="3"/>
      <c r="M69" s="3">
        <f t="shared" si="40"/>
        <v>17.079999999999998</v>
      </c>
      <c r="N69" s="3"/>
      <c r="O69" s="3">
        <f t="shared" si="40"/>
        <v>17.079999999999998</v>
      </c>
      <c r="P69" s="3"/>
      <c r="Q69" s="3">
        <f t="shared" si="40"/>
        <v>18.79</v>
      </c>
    </row>
    <row r="70" spans="1:17" ht="30" x14ac:dyDescent="0.25">
      <c r="A70" s="4"/>
      <c r="B70" s="4"/>
      <c r="C70" s="6" t="s">
        <v>40</v>
      </c>
      <c r="D70" s="4"/>
      <c r="E70" s="7">
        <f>ROUND((E60+E61+E62+E63+E64+E65+E66+E67+E68+E69)*0.302,2)</f>
        <v>568.66999999999996</v>
      </c>
      <c r="F70" s="7"/>
      <c r="G70" s="7">
        <f t="shared" ref="G70:Q70" si="41">ROUND((G60+G61+G62+G63+G64+G65+G66+G67+G68+G69)*0.302,2)</f>
        <v>546.79999999999995</v>
      </c>
      <c r="H70" s="7"/>
      <c r="I70" s="7">
        <f t="shared" si="41"/>
        <v>546.79999999999995</v>
      </c>
      <c r="J70" s="7"/>
      <c r="K70" s="7">
        <f t="shared" si="41"/>
        <v>598.79999999999995</v>
      </c>
      <c r="L70" s="7"/>
      <c r="M70" s="7">
        <f t="shared" si="41"/>
        <v>546.79999999999995</v>
      </c>
      <c r="N70" s="7"/>
      <c r="O70" s="7">
        <f t="shared" si="41"/>
        <v>546.79999999999995</v>
      </c>
      <c r="P70" s="7"/>
      <c r="Q70" s="7">
        <f t="shared" si="41"/>
        <v>598.79999999999995</v>
      </c>
    </row>
    <row r="71" spans="1:17" x14ac:dyDescent="0.25">
      <c r="A71" s="4"/>
      <c r="B71" s="4"/>
      <c r="C71" s="10" t="s">
        <v>8</v>
      </c>
      <c r="D71" s="4"/>
      <c r="E71" s="7">
        <f>E60+E61+E62+E63+E64+E65+E66+E68+E69+E67+E70</f>
        <v>2451.6799999999998</v>
      </c>
      <c r="F71" s="7"/>
      <c r="G71" s="7">
        <f t="shared" ref="G71:Q71" si="42">G60+G61+G62+G63+G64+G65+G66+G68+G69+G67+G70</f>
        <v>2357.3900000000003</v>
      </c>
      <c r="H71" s="7"/>
      <c r="I71" s="7">
        <f t="shared" si="42"/>
        <v>2357.3900000000003</v>
      </c>
      <c r="J71" s="7"/>
      <c r="K71" s="7">
        <f t="shared" si="42"/>
        <v>2581.58</v>
      </c>
      <c r="L71" s="7"/>
      <c r="M71" s="7">
        <f t="shared" si="42"/>
        <v>2357.3900000000003</v>
      </c>
      <c r="N71" s="7"/>
      <c r="O71" s="7">
        <f t="shared" si="42"/>
        <v>2357.3900000000003</v>
      </c>
      <c r="P71" s="7"/>
      <c r="Q71" s="7">
        <f t="shared" si="42"/>
        <v>2581.58</v>
      </c>
    </row>
    <row r="72" spans="1:17" x14ac:dyDescent="0.25">
      <c r="A72" s="4"/>
      <c r="B72" s="4"/>
      <c r="C72" s="10" t="s">
        <v>9</v>
      </c>
      <c r="D72" s="4"/>
      <c r="E72" s="7">
        <f>ROUND(E71*12,2)</f>
        <v>29420.16</v>
      </c>
      <c r="F72" s="5"/>
      <c r="G72" s="7">
        <f>ROUND(G71*12,2)</f>
        <v>28288.68</v>
      </c>
      <c r="H72" s="4"/>
      <c r="I72" s="7">
        <f>ROUND(I71*12,2)</f>
        <v>28288.68</v>
      </c>
      <c r="J72" s="16"/>
      <c r="K72" s="7">
        <f>ROUND(K71*12,2)</f>
        <v>30978.959999999999</v>
      </c>
      <c r="L72" s="16"/>
      <c r="M72" s="14">
        <f>ROUND(M71*12,2)</f>
        <v>28288.68</v>
      </c>
      <c r="N72" s="16"/>
      <c r="O72" s="14">
        <f>ROUND(O71*12,2)</f>
        <v>28288.68</v>
      </c>
      <c r="P72" s="16"/>
      <c r="Q72" s="7">
        <f>ROUND(Q71*12,2)</f>
        <v>30978.959999999999</v>
      </c>
    </row>
    <row r="73" spans="1:17" ht="30" x14ac:dyDescent="0.25">
      <c r="A73" s="3">
        <v>6</v>
      </c>
      <c r="B73" s="6" t="s">
        <v>5</v>
      </c>
      <c r="C73" s="6" t="s">
        <v>6</v>
      </c>
      <c r="D73" s="17">
        <v>1</v>
      </c>
      <c r="E73" s="7">
        <f>ROUND(5194*D73,0)</f>
        <v>5194</v>
      </c>
      <c r="F73" s="17">
        <v>1.25</v>
      </c>
      <c r="G73" s="7">
        <f>ROUND(5194*F73,0)</f>
        <v>6493</v>
      </c>
      <c r="H73" s="17">
        <v>1.25</v>
      </c>
      <c r="I73" s="7">
        <f>ROUND(5194*H73,0)</f>
        <v>6493</v>
      </c>
      <c r="J73" s="17">
        <v>1.25</v>
      </c>
      <c r="K73" s="7">
        <f>ROUND(5194*J73,0)</f>
        <v>6493</v>
      </c>
      <c r="L73" s="17">
        <v>1.5</v>
      </c>
      <c r="M73" s="7">
        <f>ROUND(5194*L73,0)</f>
        <v>7791</v>
      </c>
      <c r="N73" s="17">
        <v>1.25</v>
      </c>
      <c r="O73" s="7">
        <f>ROUND(5194*N73,0)</f>
        <v>6493</v>
      </c>
      <c r="P73" s="17">
        <v>1.25</v>
      </c>
      <c r="Q73" s="7">
        <f>ROUND(5194*P73,0)</f>
        <v>6493</v>
      </c>
    </row>
    <row r="74" spans="1:17" ht="45" x14ac:dyDescent="0.25">
      <c r="A74" s="3"/>
      <c r="B74" s="6"/>
      <c r="C74" s="6" t="s">
        <v>47</v>
      </c>
      <c r="D74" s="17"/>
      <c r="E74" s="7"/>
      <c r="F74" s="17"/>
      <c r="G74" s="7"/>
      <c r="H74" s="17"/>
      <c r="I74" s="7"/>
      <c r="J74" s="17"/>
      <c r="K74" s="7">
        <f>ROUND(K73*0.2,2)</f>
        <v>1298.5999999999999</v>
      </c>
      <c r="L74" s="17"/>
      <c r="M74" s="14"/>
      <c r="N74" s="17"/>
      <c r="O74" s="14"/>
      <c r="P74" s="17"/>
      <c r="Q74" s="7">
        <f>ROUND(Q73*0.2,2)</f>
        <v>1298.5999999999999</v>
      </c>
    </row>
    <row r="75" spans="1:17" ht="45" x14ac:dyDescent="0.25">
      <c r="A75" s="4"/>
      <c r="B75" s="4"/>
      <c r="C75" s="6" t="s">
        <v>49</v>
      </c>
      <c r="D75" s="4"/>
      <c r="E75" s="7">
        <f>ROUND(E73*0.3,0)</f>
        <v>1558</v>
      </c>
      <c r="F75" s="4"/>
      <c r="G75" s="7">
        <f>ROUND(G73*0.3,0)</f>
        <v>1948</v>
      </c>
      <c r="H75" s="4"/>
      <c r="I75" s="7">
        <f>ROUND(I73*0.3,0)</f>
        <v>1948</v>
      </c>
      <c r="J75" s="16"/>
      <c r="K75" s="7">
        <f>ROUND(K73*0.3,0)</f>
        <v>1948</v>
      </c>
      <c r="L75" s="16"/>
      <c r="M75" s="14">
        <f>ROUND(M73*0.3,0)</f>
        <v>2337</v>
      </c>
      <c r="N75" s="16"/>
      <c r="O75" s="14">
        <f>ROUND(O73*0.3,0)</f>
        <v>1948</v>
      </c>
      <c r="P75" s="16"/>
      <c r="Q75" s="7">
        <f>ROUND(Q73*0.3,0)</f>
        <v>1948</v>
      </c>
    </row>
    <row r="76" spans="1:17" ht="60" x14ac:dyDescent="0.25">
      <c r="A76" s="4"/>
      <c r="B76" s="4"/>
      <c r="C76" s="6" t="s">
        <v>50</v>
      </c>
      <c r="D76" s="4"/>
      <c r="E76" s="7">
        <f>ROUND((E73)*0.05,2)</f>
        <v>259.7</v>
      </c>
      <c r="F76" s="7"/>
      <c r="G76" s="7">
        <f t="shared" ref="G76:Q76" si="43">ROUND((G73)*0.05,2)</f>
        <v>324.64999999999998</v>
      </c>
      <c r="H76" s="7"/>
      <c r="I76" s="7">
        <f t="shared" si="43"/>
        <v>324.64999999999998</v>
      </c>
      <c r="J76" s="7"/>
      <c r="K76" s="7">
        <f t="shared" si="43"/>
        <v>324.64999999999998</v>
      </c>
      <c r="L76" s="7"/>
      <c r="M76" s="7">
        <f t="shared" si="43"/>
        <v>389.55</v>
      </c>
      <c r="N76" s="7"/>
      <c r="O76" s="7">
        <f t="shared" si="43"/>
        <v>324.64999999999998</v>
      </c>
      <c r="P76" s="7"/>
      <c r="Q76" s="7">
        <f t="shared" si="43"/>
        <v>324.64999999999998</v>
      </c>
    </row>
    <row r="77" spans="1:17" ht="30.75" customHeight="1" x14ac:dyDescent="0.25">
      <c r="A77" s="4"/>
      <c r="B77" s="4"/>
      <c r="C77" s="6" t="s">
        <v>19</v>
      </c>
      <c r="D77" s="4"/>
      <c r="E77" s="7">
        <f>ROUND(E73*0.2,2)</f>
        <v>1038.8</v>
      </c>
      <c r="F77" s="7"/>
      <c r="G77" s="7">
        <f t="shared" ref="G77:Q77" si="44">ROUND(G73*0.2,2)</f>
        <v>1298.5999999999999</v>
      </c>
      <c r="H77" s="7">
        <f t="shared" si="44"/>
        <v>0.25</v>
      </c>
      <c r="I77" s="7">
        <f t="shared" si="44"/>
        <v>1298.5999999999999</v>
      </c>
      <c r="J77" s="7"/>
      <c r="K77" s="7">
        <f t="shared" si="44"/>
        <v>1298.5999999999999</v>
      </c>
      <c r="L77" s="7"/>
      <c r="M77" s="7">
        <f t="shared" si="44"/>
        <v>1558.2</v>
      </c>
      <c r="N77" s="7"/>
      <c r="O77" s="7">
        <f t="shared" si="44"/>
        <v>1298.5999999999999</v>
      </c>
      <c r="P77" s="7"/>
      <c r="Q77" s="7">
        <f t="shared" si="44"/>
        <v>1298.5999999999999</v>
      </c>
    </row>
    <row r="78" spans="1:17" x14ac:dyDescent="0.25">
      <c r="A78" s="4"/>
      <c r="B78" s="4"/>
      <c r="C78" s="4" t="s">
        <v>38</v>
      </c>
      <c r="D78" s="4"/>
      <c r="E78" s="7">
        <f>ROUND((E73+E74+E75+E76+E77)*0.05,0)</f>
        <v>403</v>
      </c>
      <c r="F78" s="7"/>
      <c r="G78" s="7">
        <f t="shared" ref="G78:Q78" si="45">ROUND((G73+G74+G75+G76+G77)*0.05,0)</f>
        <v>503</v>
      </c>
      <c r="H78" s="7"/>
      <c r="I78" s="7">
        <f t="shared" si="45"/>
        <v>503</v>
      </c>
      <c r="J78" s="7"/>
      <c r="K78" s="7">
        <f t="shared" si="45"/>
        <v>568</v>
      </c>
      <c r="L78" s="7"/>
      <c r="M78" s="7">
        <f t="shared" si="45"/>
        <v>604</v>
      </c>
      <c r="N78" s="7"/>
      <c r="O78" s="7">
        <f t="shared" si="45"/>
        <v>503</v>
      </c>
      <c r="P78" s="7"/>
      <c r="Q78" s="7">
        <f t="shared" si="45"/>
        <v>568</v>
      </c>
    </row>
    <row r="79" spans="1:17" ht="30" x14ac:dyDescent="0.25">
      <c r="A79" s="4"/>
      <c r="B79" s="4"/>
      <c r="C79" s="6" t="s">
        <v>39</v>
      </c>
      <c r="D79" s="4"/>
      <c r="E79" s="7">
        <f>ROUND((E73+E74+E75+E76+E77)*0.01,2)</f>
        <v>80.510000000000005</v>
      </c>
      <c r="F79" s="7"/>
      <c r="G79" s="7">
        <f t="shared" ref="G79:Q79" si="46">ROUND((G73+G74+G75+G76+G77)*0.01,2)</f>
        <v>100.64</v>
      </c>
      <c r="H79" s="7"/>
      <c r="I79" s="7">
        <f t="shared" si="46"/>
        <v>100.64</v>
      </c>
      <c r="J79" s="7"/>
      <c r="K79" s="7">
        <f t="shared" si="46"/>
        <v>113.63</v>
      </c>
      <c r="L79" s="7"/>
      <c r="M79" s="7">
        <f t="shared" si="46"/>
        <v>120.76</v>
      </c>
      <c r="N79" s="7"/>
      <c r="O79" s="7">
        <f t="shared" si="46"/>
        <v>100.64</v>
      </c>
      <c r="P79" s="7"/>
      <c r="Q79" s="7">
        <f t="shared" si="46"/>
        <v>113.63</v>
      </c>
    </row>
    <row r="80" spans="1:17" x14ac:dyDescent="0.25">
      <c r="A80" s="4"/>
      <c r="B80" s="4"/>
      <c r="C80" s="4" t="s">
        <v>51</v>
      </c>
      <c r="D80" s="4"/>
      <c r="E80" s="7">
        <f>ROUND((11163-(E73+E74+E75+E76+E78+E77)/D73)*D73,2)</f>
        <v>2709.5</v>
      </c>
      <c r="F80" s="7"/>
      <c r="G80" s="7">
        <f t="shared" ref="G80:Q80" si="47">ROUND((11163-(G73+G74+G75+G76+G78+G77)/F73)*F73,2)</f>
        <v>3386.5</v>
      </c>
      <c r="H80" s="7"/>
      <c r="I80" s="7">
        <f t="shared" si="47"/>
        <v>3386.5</v>
      </c>
      <c r="J80" s="7"/>
      <c r="K80" s="7">
        <f t="shared" si="47"/>
        <v>2022.9</v>
      </c>
      <c r="L80" s="7"/>
      <c r="M80" s="7">
        <f t="shared" si="47"/>
        <v>4064.75</v>
      </c>
      <c r="N80" s="7"/>
      <c r="O80" s="7">
        <f t="shared" si="47"/>
        <v>3386.5</v>
      </c>
      <c r="P80" s="7"/>
      <c r="Q80" s="7">
        <f t="shared" si="47"/>
        <v>2022.9</v>
      </c>
    </row>
    <row r="81" spans="1:17" x14ac:dyDescent="0.25">
      <c r="A81" s="4"/>
      <c r="B81" s="4"/>
      <c r="C81" s="4" t="s">
        <v>18</v>
      </c>
      <c r="D81" s="4"/>
      <c r="E81" s="7">
        <f>ROUND(11163/29.3*28*D73/365*28,2)</f>
        <v>818.35</v>
      </c>
      <c r="F81" s="7"/>
      <c r="G81" s="7">
        <f t="shared" ref="G81:Q81" si="48">ROUND(11163/29.3*28*F73/365*28,2)</f>
        <v>1022.93</v>
      </c>
      <c r="H81" s="7"/>
      <c r="I81" s="7">
        <f t="shared" si="48"/>
        <v>1022.93</v>
      </c>
      <c r="J81" s="7"/>
      <c r="K81" s="7">
        <f t="shared" si="48"/>
        <v>1022.93</v>
      </c>
      <c r="L81" s="7"/>
      <c r="M81" s="7">
        <f t="shared" si="48"/>
        <v>1227.52</v>
      </c>
      <c r="N81" s="7"/>
      <c r="O81" s="7">
        <f t="shared" si="48"/>
        <v>1022.93</v>
      </c>
      <c r="P81" s="7"/>
      <c r="Q81" s="7">
        <f t="shared" si="48"/>
        <v>1022.93</v>
      </c>
    </row>
    <row r="82" spans="1:17" ht="30" x14ac:dyDescent="0.25">
      <c r="A82" s="4"/>
      <c r="B82" s="4"/>
      <c r="C82" s="6" t="s">
        <v>7</v>
      </c>
      <c r="D82" s="4"/>
      <c r="E82" s="7">
        <f>ROUND((E73+E74+E75+E76+E78+E79+E80+E81+E77)*0.302,0)</f>
        <v>3643</v>
      </c>
      <c r="F82" s="7"/>
      <c r="G82" s="7">
        <f t="shared" ref="G82:Q82" si="49">ROUND((G73+G74+G75+G76+G78+G79+G80+G81+G77)*0.302,0)</f>
        <v>4553</v>
      </c>
      <c r="H82" s="7"/>
      <c r="I82" s="7">
        <f t="shared" si="49"/>
        <v>4553</v>
      </c>
      <c r="J82" s="7"/>
      <c r="K82" s="7">
        <f t="shared" si="49"/>
        <v>4557</v>
      </c>
      <c r="L82" s="7"/>
      <c r="M82" s="7">
        <f t="shared" si="49"/>
        <v>5464</v>
      </c>
      <c r="N82" s="7"/>
      <c r="O82" s="7">
        <f t="shared" si="49"/>
        <v>4553</v>
      </c>
      <c r="P82" s="7"/>
      <c r="Q82" s="7">
        <f t="shared" si="49"/>
        <v>4557</v>
      </c>
    </row>
    <row r="83" spans="1:17" ht="30" x14ac:dyDescent="0.25">
      <c r="A83" s="4"/>
      <c r="B83" s="4"/>
      <c r="C83" s="6" t="s">
        <v>13</v>
      </c>
      <c r="D83" s="4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</row>
    <row r="84" spans="1:17" x14ac:dyDescent="0.25">
      <c r="A84" s="4"/>
      <c r="B84" s="4"/>
      <c r="C84" s="10" t="s">
        <v>8</v>
      </c>
      <c r="D84" s="4"/>
      <c r="E84" s="7">
        <f>E73+E74+E75+E76+E78+E79+E82+E80+E81+E77</f>
        <v>15704.859999999999</v>
      </c>
      <c r="F84" s="7"/>
      <c r="G84" s="7">
        <f t="shared" ref="G84:Q84" si="50">G73+G74+G75+G76+G78+G79+G82+G80+G81+G77</f>
        <v>19630.32</v>
      </c>
      <c r="H84" s="7"/>
      <c r="I84" s="7">
        <f t="shared" si="50"/>
        <v>19630.32</v>
      </c>
      <c r="J84" s="7"/>
      <c r="K84" s="7">
        <f t="shared" si="50"/>
        <v>19647.309999999998</v>
      </c>
      <c r="L84" s="7"/>
      <c r="M84" s="7">
        <f t="shared" si="50"/>
        <v>23556.78</v>
      </c>
      <c r="N84" s="7"/>
      <c r="O84" s="7">
        <f t="shared" si="50"/>
        <v>19630.32</v>
      </c>
      <c r="P84" s="7"/>
      <c r="Q84" s="7">
        <f t="shared" si="50"/>
        <v>19647.309999999998</v>
      </c>
    </row>
    <row r="85" spans="1:17" x14ac:dyDescent="0.25">
      <c r="A85" s="4"/>
      <c r="B85" s="4"/>
      <c r="C85" s="10" t="s">
        <v>9</v>
      </c>
      <c r="D85" s="4"/>
      <c r="E85" s="7">
        <f>ROUND(E84*12,0)</f>
        <v>188458</v>
      </c>
      <c r="F85" s="4"/>
      <c r="G85" s="7">
        <f>ROUND(G84*12,0)</f>
        <v>235564</v>
      </c>
      <c r="H85" s="4"/>
      <c r="I85" s="7">
        <f>ROUND(I84*12,0)</f>
        <v>235564</v>
      </c>
      <c r="J85" s="16"/>
      <c r="K85" s="7">
        <f>ROUND(K84*12,0)</f>
        <v>235768</v>
      </c>
      <c r="L85" s="16"/>
      <c r="M85" s="14">
        <f>ROUND(M84*12,0)</f>
        <v>282681</v>
      </c>
      <c r="N85" s="16"/>
      <c r="O85" s="14">
        <f>ROUND(O84*12,0)</f>
        <v>235564</v>
      </c>
      <c r="P85" s="16"/>
      <c r="Q85" s="7">
        <f>ROUND(Q84*12,0)</f>
        <v>235768</v>
      </c>
    </row>
    <row r="86" spans="1:17" ht="45.75" customHeight="1" x14ac:dyDescent="0.25">
      <c r="A86" s="3">
        <v>7</v>
      </c>
      <c r="B86" s="6" t="s">
        <v>21</v>
      </c>
      <c r="C86" s="6" t="s">
        <v>22</v>
      </c>
      <c r="D86" s="17">
        <v>1</v>
      </c>
      <c r="E86" s="7">
        <f>ROUND(3880*D86,0)</f>
        <v>3880</v>
      </c>
      <c r="F86" s="17">
        <v>1</v>
      </c>
      <c r="G86" s="7">
        <f>ROUND(3880*F86,0)</f>
        <v>3880</v>
      </c>
      <c r="H86" s="17">
        <v>1</v>
      </c>
      <c r="I86" s="7">
        <f>ROUND(3880*H86,0)</f>
        <v>3880</v>
      </c>
      <c r="J86" s="17">
        <v>1</v>
      </c>
      <c r="K86" s="7">
        <f>ROUND(3880*J86,0)</f>
        <v>3880</v>
      </c>
      <c r="L86" s="17">
        <v>1</v>
      </c>
      <c r="M86" s="7">
        <f>ROUND(3880*L86,0)</f>
        <v>3880</v>
      </c>
      <c r="N86" s="17">
        <v>1</v>
      </c>
      <c r="O86" s="7">
        <f>ROUND(3880*N86,0)</f>
        <v>3880</v>
      </c>
      <c r="P86" s="17">
        <v>1</v>
      </c>
      <c r="Q86" s="7">
        <f>ROUND(3880*P86,0)</f>
        <v>3880</v>
      </c>
    </row>
    <row r="87" spans="1:17" ht="60" x14ac:dyDescent="0.25">
      <c r="A87" s="4"/>
      <c r="B87" s="4"/>
      <c r="C87" s="6" t="s">
        <v>52</v>
      </c>
      <c r="D87" s="4"/>
      <c r="E87" s="7">
        <f>ROUND((E86)*0.05,2)</f>
        <v>194</v>
      </c>
      <c r="F87" s="7"/>
      <c r="G87" s="7">
        <f t="shared" ref="G87:Q87" si="51">ROUND((G86)*0.05,2)</f>
        <v>194</v>
      </c>
      <c r="H87" s="7"/>
      <c r="I87" s="7">
        <f t="shared" si="51"/>
        <v>194</v>
      </c>
      <c r="J87" s="7"/>
      <c r="K87" s="7">
        <f t="shared" si="51"/>
        <v>194</v>
      </c>
      <c r="L87" s="7"/>
      <c r="M87" s="7">
        <f t="shared" si="51"/>
        <v>194</v>
      </c>
      <c r="N87" s="7"/>
      <c r="O87" s="7">
        <f t="shared" si="51"/>
        <v>194</v>
      </c>
      <c r="P87" s="7"/>
      <c r="Q87" s="7">
        <f t="shared" si="51"/>
        <v>194</v>
      </c>
    </row>
    <row r="88" spans="1:17" ht="30.75" customHeight="1" x14ac:dyDescent="0.25">
      <c r="A88" s="4"/>
      <c r="B88" s="4"/>
      <c r="C88" s="6" t="s">
        <v>35</v>
      </c>
      <c r="D88" s="4"/>
      <c r="E88" s="7">
        <f>ROUND(E86*0.2,2)</f>
        <v>776</v>
      </c>
      <c r="F88" s="7"/>
      <c r="G88" s="7">
        <f t="shared" ref="G88:Q88" si="52">ROUND(G86*0.2,2)</f>
        <v>776</v>
      </c>
      <c r="H88" s="7"/>
      <c r="I88" s="7">
        <f t="shared" si="52"/>
        <v>776</v>
      </c>
      <c r="J88" s="7"/>
      <c r="K88" s="7">
        <f t="shared" si="52"/>
        <v>776</v>
      </c>
      <c r="L88" s="7"/>
      <c r="M88" s="7">
        <f t="shared" si="52"/>
        <v>776</v>
      </c>
      <c r="N88" s="7"/>
      <c r="O88" s="7">
        <f t="shared" si="52"/>
        <v>776</v>
      </c>
      <c r="P88" s="7"/>
      <c r="Q88" s="7">
        <f t="shared" si="52"/>
        <v>776</v>
      </c>
    </row>
    <row r="89" spans="1:17" x14ac:dyDescent="0.25">
      <c r="A89" s="4"/>
      <c r="B89" s="4"/>
      <c r="C89" s="4" t="s">
        <v>38</v>
      </c>
      <c r="D89" s="4"/>
      <c r="E89" s="7">
        <f>ROUND((E86+E87+E88)*0.05,0)</f>
        <v>243</v>
      </c>
      <c r="F89" s="7"/>
      <c r="G89" s="7">
        <f t="shared" ref="G89:Q89" si="53">ROUND((G86+G87+G88)*0.05,0)</f>
        <v>243</v>
      </c>
      <c r="H89" s="7"/>
      <c r="I89" s="7">
        <f t="shared" si="53"/>
        <v>243</v>
      </c>
      <c r="J89" s="7"/>
      <c r="K89" s="7">
        <f t="shared" si="53"/>
        <v>243</v>
      </c>
      <c r="L89" s="7"/>
      <c r="M89" s="7">
        <f t="shared" si="53"/>
        <v>243</v>
      </c>
      <c r="N89" s="7"/>
      <c r="O89" s="7">
        <f t="shared" si="53"/>
        <v>243</v>
      </c>
      <c r="P89" s="7"/>
      <c r="Q89" s="7">
        <f t="shared" si="53"/>
        <v>243</v>
      </c>
    </row>
    <row r="90" spans="1:17" ht="30" x14ac:dyDescent="0.25">
      <c r="A90" s="4"/>
      <c r="B90" s="4"/>
      <c r="C90" s="6" t="s">
        <v>39</v>
      </c>
      <c r="D90" s="4"/>
      <c r="E90" s="7">
        <f>ROUND((E86+E87+E88)*0.01,2)</f>
        <v>48.5</v>
      </c>
      <c r="F90" s="7"/>
      <c r="G90" s="7">
        <f t="shared" ref="G90:Q90" si="54">ROUND((G86+G87+G88)*0.01,2)</f>
        <v>48.5</v>
      </c>
      <c r="H90" s="7"/>
      <c r="I90" s="7">
        <f t="shared" si="54"/>
        <v>48.5</v>
      </c>
      <c r="J90" s="7"/>
      <c r="K90" s="7">
        <f t="shared" si="54"/>
        <v>48.5</v>
      </c>
      <c r="L90" s="7"/>
      <c r="M90" s="7">
        <f t="shared" si="54"/>
        <v>48.5</v>
      </c>
      <c r="N90" s="7"/>
      <c r="O90" s="7">
        <f t="shared" si="54"/>
        <v>48.5</v>
      </c>
      <c r="P90" s="7"/>
      <c r="Q90" s="7">
        <f t="shared" si="54"/>
        <v>48.5</v>
      </c>
    </row>
    <row r="91" spans="1:17" x14ac:dyDescent="0.25">
      <c r="A91" s="4"/>
      <c r="B91" s="4"/>
      <c r="C91" s="4" t="s">
        <v>51</v>
      </c>
      <c r="D91" s="4"/>
      <c r="E91" s="7">
        <f>ROUND((11163-(E86+E87+E89+E88)/D86)*D86,2)</f>
        <v>6070</v>
      </c>
      <c r="F91" s="7"/>
      <c r="G91" s="7">
        <f t="shared" ref="G91:Q91" si="55">ROUND((11163-(G86+G87+G89+G88)/F86)*F86,2)</f>
        <v>6070</v>
      </c>
      <c r="H91" s="7"/>
      <c r="I91" s="7">
        <f t="shared" si="55"/>
        <v>6070</v>
      </c>
      <c r="J91" s="7"/>
      <c r="K91" s="7">
        <f t="shared" si="55"/>
        <v>6070</v>
      </c>
      <c r="L91" s="7"/>
      <c r="M91" s="7">
        <f t="shared" si="55"/>
        <v>6070</v>
      </c>
      <c r="N91" s="7"/>
      <c r="O91" s="7">
        <f t="shared" si="55"/>
        <v>6070</v>
      </c>
      <c r="P91" s="7"/>
      <c r="Q91" s="7">
        <f t="shared" si="55"/>
        <v>6070</v>
      </c>
    </row>
    <row r="92" spans="1:17" x14ac:dyDescent="0.25">
      <c r="A92" s="4"/>
      <c r="B92" s="4"/>
      <c r="C92" s="4" t="s">
        <v>18</v>
      </c>
      <c r="D92" s="4"/>
      <c r="E92" s="7">
        <f>ROUND(11163/29.3*28*D86/365*28,2)</f>
        <v>818.35</v>
      </c>
      <c r="F92" s="7"/>
      <c r="G92" s="7">
        <f t="shared" ref="G92:Q92" si="56">ROUND(11163/29.3*28*F86/365*28,2)</f>
        <v>818.35</v>
      </c>
      <c r="H92" s="7"/>
      <c r="I92" s="7">
        <f t="shared" si="56"/>
        <v>818.35</v>
      </c>
      <c r="J92" s="7"/>
      <c r="K92" s="7">
        <f t="shared" si="56"/>
        <v>818.35</v>
      </c>
      <c r="L92" s="7"/>
      <c r="M92" s="7">
        <f t="shared" si="56"/>
        <v>818.35</v>
      </c>
      <c r="N92" s="7"/>
      <c r="O92" s="7">
        <f t="shared" si="56"/>
        <v>818.35</v>
      </c>
      <c r="P92" s="7"/>
      <c r="Q92" s="7">
        <f t="shared" si="56"/>
        <v>818.35</v>
      </c>
    </row>
    <row r="93" spans="1:17" ht="30" x14ac:dyDescent="0.25">
      <c r="A93" s="4"/>
      <c r="B93" s="4"/>
      <c r="C93" s="6" t="s">
        <v>7</v>
      </c>
      <c r="D93" s="4"/>
      <c r="E93" s="7">
        <f>ROUND((E86+E87+E89+E90+E91+E92+E88)*0.302,0)</f>
        <v>3633</v>
      </c>
      <c r="F93" s="7"/>
      <c r="G93" s="7">
        <f t="shared" ref="G93:Q93" si="57">ROUND((G86+G87+G89+G90+G91+G92+G88)*0.302,0)</f>
        <v>3633</v>
      </c>
      <c r="H93" s="7"/>
      <c r="I93" s="7">
        <f t="shared" si="57"/>
        <v>3633</v>
      </c>
      <c r="J93" s="7"/>
      <c r="K93" s="7">
        <f t="shared" si="57"/>
        <v>3633</v>
      </c>
      <c r="L93" s="7"/>
      <c r="M93" s="7">
        <f t="shared" si="57"/>
        <v>3633</v>
      </c>
      <c r="N93" s="7"/>
      <c r="O93" s="7">
        <f t="shared" si="57"/>
        <v>3633</v>
      </c>
      <c r="P93" s="7"/>
      <c r="Q93" s="7">
        <f t="shared" si="57"/>
        <v>3633</v>
      </c>
    </row>
    <row r="94" spans="1:17" ht="30" x14ac:dyDescent="0.25">
      <c r="A94" s="4"/>
      <c r="B94" s="4"/>
      <c r="C94" s="6" t="s">
        <v>23</v>
      </c>
      <c r="D94" s="4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1:17" x14ac:dyDescent="0.25">
      <c r="A95" s="4"/>
      <c r="B95" s="4"/>
      <c r="C95" s="10" t="s">
        <v>8</v>
      </c>
      <c r="D95" s="4"/>
      <c r="E95" s="7">
        <f>E86+E87+E89+E90+E93+E91+E92+E88</f>
        <v>15662.85</v>
      </c>
      <c r="F95" s="7"/>
      <c r="G95" s="7">
        <f t="shared" ref="G95:Q95" si="58">G86+G87+G89+G90+G93+G91+G92+G88</f>
        <v>15662.85</v>
      </c>
      <c r="H95" s="7"/>
      <c r="I95" s="7">
        <f t="shared" si="58"/>
        <v>15662.85</v>
      </c>
      <c r="J95" s="7"/>
      <c r="K95" s="7">
        <f t="shared" si="58"/>
        <v>15662.85</v>
      </c>
      <c r="L95" s="7"/>
      <c r="M95" s="7">
        <f t="shared" si="58"/>
        <v>15662.85</v>
      </c>
      <c r="N95" s="7"/>
      <c r="O95" s="7">
        <f t="shared" si="58"/>
        <v>15662.85</v>
      </c>
      <c r="P95" s="7"/>
      <c r="Q95" s="7">
        <f t="shared" si="58"/>
        <v>15662.85</v>
      </c>
    </row>
    <row r="96" spans="1:17" x14ac:dyDescent="0.25">
      <c r="A96" s="4"/>
      <c r="B96" s="4"/>
      <c r="C96" s="10" t="s">
        <v>9</v>
      </c>
      <c r="D96" s="4"/>
      <c r="E96" s="7">
        <f>ROUND(E95*12,0)</f>
        <v>187954</v>
      </c>
      <c r="F96" s="7"/>
      <c r="G96" s="7">
        <f t="shared" ref="G96:Q96" si="59">ROUND(G95*12,0)</f>
        <v>187954</v>
      </c>
      <c r="H96" s="7"/>
      <c r="I96" s="7">
        <f t="shared" si="59"/>
        <v>187954</v>
      </c>
      <c r="J96" s="7"/>
      <c r="K96" s="7">
        <f t="shared" si="59"/>
        <v>187954</v>
      </c>
      <c r="L96" s="7"/>
      <c r="M96" s="7">
        <f t="shared" si="59"/>
        <v>187954</v>
      </c>
      <c r="N96" s="7"/>
      <c r="O96" s="7">
        <f t="shared" si="59"/>
        <v>187954</v>
      </c>
      <c r="P96" s="7"/>
      <c r="Q96" s="7">
        <f t="shared" si="59"/>
        <v>187954</v>
      </c>
    </row>
    <row r="97" spans="1:19" ht="19.5" customHeight="1" x14ac:dyDescent="0.25">
      <c r="A97" s="4"/>
      <c r="B97" s="45" t="s">
        <v>15</v>
      </c>
      <c r="C97" s="46"/>
      <c r="D97" s="4"/>
      <c r="E97" s="4"/>
      <c r="F97" s="4"/>
      <c r="G97" s="4"/>
      <c r="H97" s="4"/>
      <c r="I97" s="4"/>
      <c r="J97" s="4"/>
      <c r="K97" s="4"/>
      <c r="L97" s="4"/>
      <c r="M97" s="16"/>
      <c r="N97" s="16"/>
      <c r="O97" s="16"/>
      <c r="P97" s="4"/>
      <c r="Q97" s="4"/>
    </row>
    <row r="98" spans="1:19" ht="36.75" customHeight="1" x14ac:dyDescent="0.25">
      <c r="A98" s="4"/>
      <c r="B98" s="6"/>
      <c r="C98" s="6" t="s">
        <v>53</v>
      </c>
      <c r="D98" s="7"/>
      <c r="E98" s="7">
        <f>ROUND((E20+E33+E46+E59+E72+E85+E96)*0.192,2)</f>
        <v>195930.49</v>
      </c>
      <c r="F98" s="7"/>
      <c r="G98" s="7">
        <f>ROUND((G20+G33+G46+G59+G72+G85+G96)*0.192,2)</f>
        <v>207856.73</v>
      </c>
      <c r="H98" s="7"/>
      <c r="I98" s="7">
        <f>ROUND((I20+I33+I46+I59+I72+I85+I96)*0.192,2)</f>
        <v>215397.47</v>
      </c>
      <c r="J98" s="7"/>
      <c r="K98" s="7">
        <f>ROUND((K20+K33+K46+K59+K72+K85+K96)*0.192,2)</f>
        <v>361709.56</v>
      </c>
      <c r="L98" s="7"/>
      <c r="M98" s="7">
        <f>ROUND((M20+M33+M46+M59+M72+M85+M96)*0.192,2)</f>
        <v>263262.56</v>
      </c>
      <c r="N98" s="7"/>
      <c r="O98" s="7">
        <f>ROUND((O20+O33+O46+O59+O72+O85+O96)*0.192,2)</f>
        <v>261756.83</v>
      </c>
      <c r="P98" s="7"/>
      <c r="Q98" s="7">
        <f>ROUND((Q20+Q33+Q46+Q59+Q72+Q85+Q96)*0.192,2)</f>
        <v>398736.15</v>
      </c>
    </row>
    <row r="99" spans="1:19" ht="64.5" customHeight="1" x14ac:dyDescent="0.25">
      <c r="A99" s="4"/>
      <c r="B99" s="32" t="s">
        <v>17</v>
      </c>
      <c r="C99" s="33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</row>
    <row r="100" spans="1:19" ht="45.75" customHeight="1" x14ac:dyDescent="0.25">
      <c r="A100" s="4"/>
      <c r="B100" s="6"/>
      <c r="C100" s="6" t="s">
        <v>54</v>
      </c>
      <c r="D100" s="7"/>
      <c r="E100" s="7">
        <f>ROUND((E20+E33+E46+E59+E72+E85+E96)*0.028,2)</f>
        <v>28573.200000000001</v>
      </c>
      <c r="F100" s="7"/>
      <c r="G100" s="7">
        <f>ROUND((G20+G33+G46+G59+G72+G85+G96)*0.028,2)</f>
        <v>30312.44</v>
      </c>
      <c r="H100" s="7"/>
      <c r="I100" s="7">
        <f>ROUND((I20+I33+I46+I59+I72+I85+I96)*0.028,2)</f>
        <v>31412.13</v>
      </c>
      <c r="J100" s="7"/>
      <c r="K100" s="7">
        <f>ROUND((K20+K33+K46+K59+K72+K85+K96)*0.028,2)</f>
        <v>52749.31</v>
      </c>
      <c r="L100" s="7"/>
      <c r="M100" s="7">
        <f>ROUND((M20+M33+M46+M59+M72+M85+M96)*0.028,2)</f>
        <v>38392.46</v>
      </c>
      <c r="N100" s="7"/>
      <c r="O100" s="7">
        <f>ROUND((O20+O33+O46+O59+O72+O85+O96)*0.028,2)</f>
        <v>38172.870000000003</v>
      </c>
      <c r="P100" s="7"/>
      <c r="Q100" s="7">
        <f>ROUND((Q20+Q33+Q46+Q59+Q72+Q85+Q96)*0.028,2)</f>
        <v>58149.02</v>
      </c>
    </row>
    <row r="101" spans="1:19" ht="66.75" customHeight="1" x14ac:dyDescent="0.25">
      <c r="A101" s="4"/>
      <c r="B101" s="32" t="s">
        <v>20</v>
      </c>
      <c r="C101" s="33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1:19" ht="50.25" customHeight="1" x14ac:dyDescent="0.25">
      <c r="A102" s="4"/>
      <c r="B102" s="6"/>
      <c r="C102" s="6" t="s">
        <v>55</v>
      </c>
      <c r="D102" s="7"/>
      <c r="E102" s="7">
        <f>ROUND((E20+E33+E46+E59+E72+E85+E96)*0.05,2)</f>
        <v>51023.57</v>
      </c>
      <c r="F102" s="7"/>
      <c r="G102" s="7">
        <f>ROUND((G20+G33+G46+G59+G72+G85+G96)*0.05,2)</f>
        <v>54129.36</v>
      </c>
      <c r="H102" s="7"/>
      <c r="I102" s="7">
        <f>ROUND((I20+I33+I46+I59+I72+I85+I96)*0.05,2)</f>
        <v>56093.09</v>
      </c>
      <c r="J102" s="7"/>
      <c r="K102" s="7">
        <f>ROUND((K20+K33+K46+K59+K72+K85+K96)*0.05,2)</f>
        <v>94195.199999999997</v>
      </c>
      <c r="L102" s="7"/>
      <c r="M102" s="7">
        <f>ROUND((M20+M33+M46+M59+M72+M85+M96)*0.05,2)</f>
        <v>68557.960000000006</v>
      </c>
      <c r="N102" s="7"/>
      <c r="O102" s="7">
        <f>ROUND((O20+O33+O46+O59+O72+O85+O96)*0.05,2)</f>
        <v>68165.84</v>
      </c>
      <c r="P102" s="7"/>
      <c r="Q102" s="7">
        <f>ROUND((Q20+Q33+Q46+Q59+Q72+Q85+Q96)*0.05,2)</f>
        <v>103837.54</v>
      </c>
    </row>
    <row r="103" spans="1:19" ht="68.25" customHeight="1" x14ac:dyDescent="0.25">
      <c r="A103" s="4"/>
      <c r="B103" s="32" t="s">
        <v>16</v>
      </c>
      <c r="C103" s="33"/>
      <c r="D103" s="4"/>
      <c r="E103" s="21">
        <f>E20+E33+E46+E59+E72+E85+E96+E98+E100+E102</f>
        <v>1295998.58</v>
      </c>
      <c r="F103" s="21"/>
      <c r="G103" s="21">
        <f>G20+G33+G46+G59+G72+G85+G96+G98+G100+G102</f>
        <v>1374885.6900000002</v>
      </c>
      <c r="H103" s="21"/>
      <c r="I103" s="21">
        <f>I20+I33+I46+I59+I72+I85+I96+I98+I100+I102</f>
        <v>1424764.53</v>
      </c>
      <c r="J103" s="21"/>
      <c r="K103" s="21">
        <f>K20+K33+K46+K59+K72+K85+K96+K98+K100+K102</f>
        <v>2392558.0300000003</v>
      </c>
      <c r="L103" s="21"/>
      <c r="M103" s="21">
        <f>M20+M33+M46+M59+M72+M85+M96+M98+M100+M102</f>
        <v>1741372.1400000001</v>
      </c>
      <c r="N103" s="21"/>
      <c r="O103" s="21">
        <f>O20+O33+O46+O59+O72+O85+O96+O98+O100+O102</f>
        <v>1731412.3800000004</v>
      </c>
      <c r="P103" s="21"/>
      <c r="Q103" s="21">
        <f>Q20+Q33+Q46+Q59+Q72+Q85+Q96+Q98+Q100+Q102</f>
        <v>2637473.5099999998</v>
      </c>
    </row>
    <row r="104" spans="1:19" ht="22.5" customHeight="1" x14ac:dyDescent="0.25">
      <c r="A104" s="4"/>
      <c r="B104" s="47"/>
      <c r="C104" s="48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14"/>
      <c r="O104" s="7"/>
      <c r="P104" s="4"/>
      <c r="Q104" s="7"/>
    </row>
    <row r="105" spans="1:19" ht="47.25" customHeight="1" x14ac:dyDescent="0.25">
      <c r="A105" s="4"/>
      <c r="B105" s="32" t="s">
        <v>61</v>
      </c>
      <c r="C105" s="33"/>
      <c r="D105" s="30">
        <v>25</v>
      </c>
      <c r="E105" s="5">
        <f>ROUND(E103/D105,0)</f>
        <v>51840</v>
      </c>
      <c r="F105" s="23">
        <v>20</v>
      </c>
      <c r="G105" s="5">
        <f>ROUND(G103/F105,0)</f>
        <v>68744</v>
      </c>
      <c r="H105" s="23">
        <v>25</v>
      </c>
      <c r="I105" s="5">
        <f>ROUND(I103/H105,0)</f>
        <v>56991</v>
      </c>
      <c r="J105" s="23">
        <v>15</v>
      </c>
      <c r="K105" s="5">
        <f>ROUND(K103/J105,0)</f>
        <v>159504</v>
      </c>
      <c r="L105" s="23">
        <v>20</v>
      </c>
      <c r="M105" s="5">
        <f>ROUND(M103/L105,0)</f>
        <v>87069</v>
      </c>
      <c r="N105" s="24">
        <v>25</v>
      </c>
      <c r="O105" s="5">
        <f>ROUND(O103/N105,0)</f>
        <v>69256</v>
      </c>
      <c r="P105" s="24">
        <v>15</v>
      </c>
      <c r="Q105" s="5">
        <f>ROUND(Q103/P105,0)</f>
        <v>175832</v>
      </c>
      <c r="R105" s="25"/>
      <c r="S105" s="26"/>
    </row>
    <row r="106" spans="1:19" ht="46.5" customHeight="1" x14ac:dyDescent="0.25">
      <c r="A106" s="4"/>
      <c r="B106" s="32" t="s">
        <v>62</v>
      </c>
      <c r="C106" s="33"/>
      <c r="D106" s="4"/>
      <c r="E106" s="5">
        <v>46289</v>
      </c>
      <c r="F106" s="4"/>
      <c r="G106" s="5">
        <v>45659</v>
      </c>
      <c r="H106" s="4"/>
      <c r="I106" s="5">
        <v>45659</v>
      </c>
      <c r="J106" s="4"/>
      <c r="K106" s="5">
        <v>45659</v>
      </c>
      <c r="L106" s="4"/>
      <c r="M106" s="5">
        <v>45659</v>
      </c>
      <c r="N106" s="16"/>
      <c r="O106" s="5">
        <v>45659</v>
      </c>
      <c r="P106" s="4"/>
      <c r="Q106" s="5">
        <v>45659</v>
      </c>
    </row>
    <row r="107" spans="1:19" ht="77.25" customHeight="1" x14ac:dyDescent="0.25">
      <c r="A107" s="4"/>
      <c r="B107" s="34" t="s">
        <v>63</v>
      </c>
      <c r="C107" s="35"/>
      <c r="D107" s="31"/>
      <c r="E107" s="19">
        <f>ROUND(E105/E106,3)</f>
        <v>1.1200000000000001</v>
      </c>
      <c r="F107" s="3"/>
      <c r="G107" s="3">
        <f t="shared" ref="G107:Q107" si="60">ROUND(G105/G106,3)</f>
        <v>1.506</v>
      </c>
      <c r="H107" s="3"/>
      <c r="I107" s="3">
        <f t="shared" si="60"/>
        <v>1.248</v>
      </c>
      <c r="J107" s="3"/>
      <c r="K107" s="3">
        <f t="shared" si="60"/>
        <v>3.4929999999999999</v>
      </c>
      <c r="L107" s="3"/>
      <c r="M107" s="3">
        <f t="shared" si="60"/>
        <v>1.907</v>
      </c>
      <c r="N107" s="3"/>
      <c r="O107" s="3">
        <f t="shared" si="60"/>
        <v>1.5169999999999999</v>
      </c>
      <c r="P107" s="3"/>
      <c r="Q107" s="3">
        <f t="shared" si="60"/>
        <v>3.851</v>
      </c>
    </row>
  </sheetData>
  <mergeCells count="21">
    <mergeCell ref="A2:Q2"/>
    <mergeCell ref="O1:Q1"/>
    <mergeCell ref="N4:O4"/>
    <mergeCell ref="P4:Q4"/>
    <mergeCell ref="F4:G4"/>
    <mergeCell ref="D3:Q3"/>
    <mergeCell ref="J4:K4"/>
    <mergeCell ref="D4:E4"/>
    <mergeCell ref="H4:I4"/>
    <mergeCell ref="L4:M4"/>
    <mergeCell ref="B106:C106"/>
    <mergeCell ref="B107:C107"/>
    <mergeCell ref="A3:A5"/>
    <mergeCell ref="B3:B5"/>
    <mergeCell ref="C3:C5"/>
    <mergeCell ref="B105:C105"/>
    <mergeCell ref="B97:C97"/>
    <mergeCell ref="B99:C99"/>
    <mergeCell ref="B101:C101"/>
    <mergeCell ref="B103:C103"/>
    <mergeCell ref="B104:C104"/>
  </mergeCells>
  <printOptions horizontalCentered="1"/>
  <pageMargins left="0" right="0" top="0.74803149606299213" bottom="0.74803149606299213" header="0" footer="0"/>
  <pageSetup paperSize="9" scale="54" orientation="landscape" r:id="rId1"/>
  <rowBreaks count="4" manualBreakCount="4">
    <brk id="21" max="16" man="1"/>
    <brk id="33" max="16" man="1"/>
    <brk id="69" max="16" man="1"/>
    <brk id="97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3"/>
  <sheetViews>
    <sheetView view="pageBreakPreview" zoomScale="75" zoomScaleNormal="81" zoomScaleSheetLayoutView="75" workbookViewId="0">
      <pane xSplit="3" ySplit="5" topLeftCell="H51" activePane="bottomRight" state="frozen"/>
      <selection pane="topRight" activeCell="D1" sqref="D1"/>
      <selection pane="bottomLeft" activeCell="A5" sqref="A5"/>
      <selection pane="bottomRight" activeCell="A2" sqref="A2:Q2"/>
    </sheetView>
  </sheetViews>
  <sheetFormatPr defaultRowHeight="15" x14ac:dyDescent="0.25"/>
  <cols>
    <col min="1" max="1" width="6.28515625" style="18" customWidth="1"/>
    <col min="2" max="2" width="16.85546875" style="18" customWidth="1"/>
    <col min="3" max="3" width="37.28515625" style="18" customWidth="1"/>
    <col min="4" max="4" width="16.85546875" style="18" customWidth="1"/>
    <col min="5" max="5" width="17.28515625" style="18" customWidth="1"/>
    <col min="6" max="6" width="12" style="18" customWidth="1"/>
    <col min="7" max="7" width="14.42578125" style="18" customWidth="1"/>
    <col min="8" max="8" width="14.85546875" style="18" customWidth="1"/>
    <col min="9" max="9" width="14" style="18" customWidth="1"/>
    <col min="10" max="10" width="12" style="18" customWidth="1"/>
    <col min="11" max="11" width="14.42578125" style="18" customWidth="1"/>
    <col min="12" max="12" width="13.42578125" style="18" customWidth="1"/>
    <col min="13" max="13" width="15.7109375" style="18" customWidth="1"/>
    <col min="14" max="14" width="14.85546875" style="18" customWidth="1"/>
    <col min="15" max="15" width="15.7109375" style="18" customWidth="1"/>
    <col min="16" max="16" width="14.140625" style="18" customWidth="1"/>
    <col min="17" max="17" width="14.42578125" style="18" customWidth="1"/>
    <col min="18" max="16384" width="9.140625" style="18"/>
  </cols>
  <sheetData>
    <row r="1" spans="1:19" s="51" customFormat="1" ht="38.25" customHeight="1" x14ac:dyDescent="0.2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50" t="s">
        <v>59</v>
      </c>
      <c r="P1" s="50"/>
      <c r="Q1" s="50"/>
    </row>
    <row r="2" spans="1:19" s="51" customFormat="1" ht="38.25" customHeight="1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1:19" ht="46.5" customHeight="1" x14ac:dyDescent="0.25">
      <c r="A3" s="53" t="s">
        <v>1</v>
      </c>
      <c r="B3" s="53" t="s">
        <v>0</v>
      </c>
      <c r="C3" s="53" t="s">
        <v>32</v>
      </c>
      <c r="D3" s="54" t="s">
        <v>24</v>
      </c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6"/>
      <c r="R3" s="49"/>
      <c r="S3" s="49"/>
    </row>
    <row r="4" spans="1:19" s="51" customFormat="1" ht="79.5" customHeight="1" x14ac:dyDescent="0.25">
      <c r="A4" s="57"/>
      <c r="B4" s="57"/>
      <c r="C4" s="57"/>
      <c r="D4" s="54" t="s">
        <v>56</v>
      </c>
      <c r="E4" s="56"/>
      <c r="F4" s="58" t="s">
        <v>25</v>
      </c>
      <c r="G4" s="58"/>
      <c r="H4" s="54" t="s">
        <v>26</v>
      </c>
      <c r="I4" s="56"/>
      <c r="J4" s="54" t="s">
        <v>27</v>
      </c>
      <c r="K4" s="56"/>
      <c r="L4" s="58" t="s">
        <v>28</v>
      </c>
      <c r="M4" s="58"/>
      <c r="N4" s="54" t="s">
        <v>29</v>
      </c>
      <c r="O4" s="56"/>
      <c r="P4" s="54" t="s">
        <v>30</v>
      </c>
      <c r="Q4" s="56"/>
    </row>
    <row r="5" spans="1:19" ht="48.75" customHeight="1" x14ac:dyDescent="0.25">
      <c r="A5" s="59"/>
      <c r="B5" s="59"/>
      <c r="C5" s="59"/>
      <c r="D5" s="13" t="s">
        <v>4</v>
      </c>
      <c r="E5" s="60" t="s">
        <v>31</v>
      </c>
      <c r="F5" s="13" t="s">
        <v>4</v>
      </c>
      <c r="G5" s="60" t="s">
        <v>31</v>
      </c>
      <c r="H5" s="13" t="s">
        <v>4</v>
      </c>
      <c r="I5" s="60" t="s">
        <v>31</v>
      </c>
      <c r="J5" s="13" t="s">
        <v>4</v>
      </c>
      <c r="K5" s="60" t="s">
        <v>31</v>
      </c>
      <c r="L5" s="13" t="s">
        <v>4</v>
      </c>
      <c r="M5" s="60" t="s">
        <v>31</v>
      </c>
      <c r="N5" s="13" t="s">
        <v>4</v>
      </c>
      <c r="O5" s="60" t="s">
        <v>31</v>
      </c>
      <c r="P5" s="60" t="s">
        <v>4</v>
      </c>
      <c r="Q5" s="60" t="s">
        <v>31</v>
      </c>
    </row>
    <row r="6" spans="1:19" ht="45" x14ac:dyDescent="0.25">
      <c r="A6" s="17">
        <v>1</v>
      </c>
      <c r="B6" s="16" t="s">
        <v>2</v>
      </c>
      <c r="C6" s="61" t="s">
        <v>22</v>
      </c>
      <c r="D6" s="14">
        <v>1.25</v>
      </c>
      <c r="E6" s="14">
        <f>ROUND(8216*D6,2)</f>
        <v>10270</v>
      </c>
      <c r="F6" s="14">
        <v>1.39</v>
      </c>
      <c r="G6" s="14">
        <f>ROUND(8216*F6,2)</f>
        <v>11420.24</v>
      </c>
      <c r="H6" s="14">
        <v>1.39</v>
      </c>
      <c r="I6" s="14">
        <f>ROUND(8216*H6,2)</f>
        <v>11420.24</v>
      </c>
      <c r="J6" s="14">
        <v>2</v>
      </c>
      <c r="K6" s="14">
        <f>ROUND(8216*J6,2)</f>
        <v>16432</v>
      </c>
      <c r="L6" s="14">
        <v>2</v>
      </c>
      <c r="M6" s="14">
        <f>ROUND(8216*L6,2)</f>
        <v>16432</v>
      </c>
      <c r="N6" s="14">
        <v>2</v>
      </c>
      <c r="O6" s="14">
        <f>ROUND(8216*N6,2)</f>
        <v>16432</v>
      </c>
      <c r="P6" s="14">
        <v>2.4</v>
      </c>
      <c r="Q6" s="14">
        <f>ROUND(8216*P6,2)</f>
        <v>19718.400000000001</v>
      </c>
    </row>
    <row r="7" spans="1:19" ht="48.75" customHeight="1" x14ac:dyDescent="0.25">
      <c r="A7" s="17"/>
      <c r="B7" s="16"/>
      <c r="C7" s="61" t="s">
        <v>36</v>
      </c>
      <c r="D7" s="14"/>
      <c r="E7" s="14">
        <f>ROUND(E6*0.3,2)</f>
        <v>3081</v>
      </c>
      <c r="F7" s="14"/>
      <c r="G7" s="14">
        <f>ROUND(G6*0.3,2)</f>
        <v>3426.07</v>
      </c>
      <c r="H7" s="14"/>
      <c r="I7" s="14">
        <f>ROUND(I6*0.3,2)</f>
        <v>3426.07</v>
      </c>
      <c r="J7" s="14"/>
      <c r="K7" s="14">
        <f>ROUND(K6*0.3,2)</f>
        <v>4929.6000000000004</v>
      </c>
      <c r="L7" s="14"/>
      <c r="M7" s="14">
        <f>ROUND(M6*0.3,2)</f>
        <v>4929.6000000000004</v>
      </c>
      <c r="N7" s="14"/>
      <c r="O7" s="14">
        <f>ROUND(O6*0.3,2)</f>
        <v>4929.6000000000004</v>
      </c>
      <c r="P7" s="14"/>
      <c r="Q7" s="14">
        <f>ROUND(Q6*0.3,2)</f>
        <v>5915.52</v>
      </c>
    </row>
    <row r="8" spans="1:19" ht="56.25" customHeight="1" x14ac:dyDescent="0.25">
      <c r="A8" s="17"/>
      <c r="B8" s="16"/>
      <c r="C8" s="61" t="s">
        <v>46</v>
      </c>
      <c r="D8" s="14"/>
      <c r="E8" s="14"/>
      <c r="F8" s="14"/>
      <c r="G8" s="14"/>
      <c r="H8" s="14"/>
      <c r="I8" s="14"/>
      <c r="J8" s="14"/>
      <c r="K8" s="14">
        <f>ROUND((K6+K7)*0.2,2)</f>
        <v>4272.32</v>
      </c>
      <c r="L8" s="14"/>
      <c r="M8" s="14"/>
      <c r="N8" s="14"/>
      <c r="O8" s="14"/>
      <c r="P8" s="14"/>
      <c r="Q8" s="14">
        <f>ROUND((Q6+Q7)*0.2,2)</f>
        <v>5126.78</v>
      </c>
    </row>
    <row r="9" spans="1:19" ht="54" customHeight="1" x14ac:dyDescent="0.25">
      <c r="A9" s="16"/>
      <c r="B9" s="16"/>
      <c r="C9" s="61" t="s">
        <v>37</v>
      </c>
      <c r="D9" s="16"/>
      <c r="E9" s="14">
        <f>ROUND((E6+E7)*0.3,2)</f>
        <v>4005.3</v>
      </c>
      <c r="F9" s="15"/>
      <c r="G9" s="14">
        <f>ROUND((G6+G7)*0.3,2)</f>
        <v>4453.8900000000003</v>
      </c>
      <c r="H9" s="15"/>
      <c r="I9" s="14">
        <f>ROUND((I6+I7)*0.3,2)</f>
        <v>4453.8900000000003</v>
      </c>
      <c r="J9" s="15"/>
      <c r="K9" s="14">
        <f>ROUND((K6+K7)*0.3,2)</f>
        <v>6408.48</v>
      </c>
      <c r="L9" s="15"/>
      <c r="M9" s="14">
        <f>ROUND((M6+M7)*0.3,2)</f>
        <v>6408.48</v>
      </c>
      <c r="N9" s="15"/>
      <c r="O9" s="14">
        <f>ROUND((O6+O7)*0.3,2)</f>
        <v>6408.48</v>
      </c>
      <c r="P9" s="15"/>
      <c r="Q9" s="14">
        <f>ROUND((Q6+Q7)*0.3,2)</f>
        <v>7690.18</v>
      </c>
    </row>
    <row r="10" spans="1:19" ht="78.75" customHeight="1" x14ac:dyDescent="0.25">
      <c r="A10" s="16"/>
      <c r="B10" s="16"/>
      <c r="C10" s="61" t="s">
        <v>33</v>
      </c>
      <c r="D10" s="16"/>
      <c r="E10" s="14">
        <f t="shared" ref="E10" si="0">ROUND((E6+E7)*0.05,2)</f>
        <v>667.55</v>
      </c>
      <c r="F10" s="14"/>
      <c r="G10" s="14">
        <f>ROUND((G6+G7)*0.05,2)</f>
        <v>742.32</v>
      </c>
      <c r="H10" s="14"/>
      <c r="I10" s="14">
        <f>ROUND((I6+I7)*0.05,2)</f>
        <v>742.32</v>
      </c>
      <c r="J10" s="14"/>
      <c r="K10" s="14">
        <f>ROUND((K6+K7)*0.05,2)</f>
        <v>1068.08</v>
      </c>
      <c r="L10" s="14"/>
      <c r="M10" s="14">
        <f>ROUND((M6+M7)*0.05,2)</f>
        <v>1068.08</v>
      </c>
      <c r="N10" s="14"/>
      <c r="O10" s="14">
        <f>ROUND((O6+O7)*0.05,2)</f>
        <v>1068.08</v>
      </c>
      <c r="P10" s="14"/>
      <c r="Q10" s="14">
        <f>ROUND((Q6+Q7)*0.05,2)</f>
        <v>1281.7</v>
      </c>
    </row>
    <row r="11" spans="1:19" ht="58.5" customHeight="1" x14ac:dyDescent="0.25">
      <c r="A11" s="16"/>
      <c r="B11" s="16"/>
      <c r="C11" s="61" t="s">
        <v>34</v>
      </c>
      <c r="D11" s="16"/>
      <c r="E11" s="14">
        <f t="shared" ref="E11" si="1">ROUND(E6*0.4,2)</f>
        <v>4108</v>
      </c>
      <c r="F11" s="14"/>
      <c r="G11" s="14">
        <f>ROUND(G6*0.4,2)</f>
        <v>4568.1000000000004</v>
      </c>
      <c r="H11" s="14"/>
      <c r="I11" s="14">
        <f t="shared" ref="I11:Q11" si="2">ROUND(I6*0.4,2)</f>
        <v>4568.1000000000004</v>
      </c>
      <c r="J11" s="14"/>
      <c r="K11" s="14">
        <f t="shared" si="2"/>
        <v>6572.8</v>
      </c>
      <c r="L11" s="14"/>
      <c r="M11" s="14">
        <f t="shared" si="2"/>
        <v>6572.8</v>
      </c>
      <c r="N11" s="14"/>
      <c r="O11" s="14">
        <f t="shared" si="2"/>
        <v>6572.8</v>
      </c>
      <c r="P11" s="14"/>
      <c r="Q11" s="14">
        <f t="shared" si="2"/>
        <v>7887.36</v>
      </c>
    </row>
    <row r="12" spans="1:19" ht="39.75" customHeight="1" x14ac:dyDescent="0.25">
      <c r="A12" s="16"/>
      <c r="B12" s="16"/>
      <c r="C12" s="61" t="s">
        <v>35</v>
      </c>
      <c r="D12" s="16"/>
      <c r="E12" s="14">
        <f t="shared" ref="E12" si="3">ROUND(E6*0.2,2)</f>
        <v>2054</v>
      </c>
      <c r="F12" s="14"/>
      <c r="G12" s="14">
        <f>ROUND(G6*0.2,2)</f>
        <v>2284.0500000000002</v>
      </c>
      <c r="H12" s="14"/>
      <c r="I12" s="14">
        <f>ROUND(I6*0.2,2)</f>
        <v>2284.0500000000002</v>
      </c>
      <c r="J12" s="14"/>
      <c r="K12" s="14">
        <f>ROUND(K6*0.2,2)</f>
        <v>3286.4</v>
      </c>
      <c r="L12" s="14"/>
      <c r="M12" s="14">
        <f>ROUND(M6*0.2,2)</f>
        <v>3286.4</v>
      </c>
      <c r="N12" s="14"/>
      <c r="O12" s="14">
        <f>ROUND(O6*0.2,2)</f>
        <v>3286.4</v>
      </c>
      <c r="P12" s="14"/>
      <c r="Q12" s="14">
        <f>ROUND(Q6*0.2,2)</f>
        <v>3943.68</v>
      </c>
    </row>
    <row r="13" spans="1:19" ht="28.5" customHeight="1" x14ac:dyDescent="0.25">
      <c r="A13" s="16"/>
      <c r="B13" s="16"/>
      <c r="C13" s="16" t="s">
        <v>38</v>
      </c>
      <c r="D13" s="16"/>
      <c r="E13" s="14">
        <f t="shared" ref="E13" si="4">ROUND((E6+E7+E8+E9++E10+E11+E12)*0.05,2)</f>
        <v>1209.29</v>
      </c>
      <c r="F13" s="14"/>
      <c r="G13" s="14">
        <f>ROUND((G6+G7+G8+G9++G10+G11+G12)*0.05,2)</f>
        <v>1344.73</v>
      </c>
      <c r="H13" s="14"/>
      <c r="I13" s="14">
        <f t="shared" ref="I13:Q13" si="5">ROUND((I6+I7+I8+I9++I10+I11+I12)*0.05,2)</f>
        <v>1344.73</v>
      </c>
      <c r="J13" s="14"/>
      <c r="K13" s="14">
        <f t="shared" si="5"/>
        <v>2148.48</v>
      </c>
      <c r="L13" s="14"/>
      <c r="M13" s="14">
        <f t="shared" si="5"/>
        <v>1934.87</v>
      </c>
      <c r="N13" s="14"/>
      <c r="O13" s="14">
        <f t="shared" si="5"/>
        <v>1934.87</v>
      </c>
      <c r="P13" s="14"/>
      <c r="Q13" s="14">
        <f t="shared" si="5"/>
        <v>2578.1799999999998</v>
      </c>
    </row>
    <row r="14" spans="1:19" ht="39" customHeight="1" x14ac:dyDescent="0.25">
      <c r="A14" s="16"/>
      <c r="B14" s="16"/>
      <c r="C14" s="61" t="s">
        <v>39</v>
      </c>
      <c r="D14" s="16"/>
      <c r="E14" s="17">
        <f t="shared" ref="E14" si="6">ROUND((E6+E7+E8+E9+E10+E11+E12)*0.01,2)</f>
        <v>241.86</v>
      </c>
      <c r="F14" s="17"/>
      <c r="G14" s="17">
        <f>ROUND((G6+G7+G8+G9+G10+G11+G12)*0.01,2)</f>
        <v>268.95</v>
      </c>
      <c r="H14" s="17"/>
      <c r="I14" s="17">
        <f t="shared" ref="I14:Q14" si="7">ROUND((I6+I7+I8+I9+I10+I11+I12)*0.01,2)</f>
        <v>268.95</v>
      </c>
      <c r="J14" s="17"/>
      <c r="K14" s="17">
        <f t="shared" si="7"/>
        <v>429.7</v>
      </c>
      <c r="L14" s="17"/>
      <c r="M14" s="17">
        <f t="shared" si="7"/>
        <v>386.97</v>
      </c>
      <c r="N14" s="17"/>
      <c r="O14" s="17">
        <f t="shared" si="7"/>
        <v>386.97</v>
      </c>
      <c r="P14" s="17"/>
      <c r="Q14" s="17">
        <f t="shared" si="7"/>
        <v>515.64</v>
      </c>
    </row>
    <row r="15" spans="1:19" ht="24.75" customHeight="1" x14ac:dyDescent="0.25">
      <c r="A15" s="16"/>
      <c r="B15" s="16"/>
      <c r="C15" s="16" t="s">
        <v>18</v>
      </c>
      <c r="D15" s="16"/>
      <c r="E15" s="14">
        <f t="shared" ref="E15" si="8">ROUND(22165.64/29.3*42/12*D6,2)</f>
        <v>3309.72</v>
      </c>
      <c r="F15" s="14"/>
      <c r="G15" s="14">
        <f>ROUND(22165.64/29.3*42/12*F6,2)</f>
        <v>3680.4</v>
      </c>
      <c r="H15" s="14"/>
      <c r="I15" s="14">
        <f t="shared" ref="I15:Q15" si="9">ROUND(22165.64/29.3*42/12*H6,2)</f>
        <v>3680.4</v>
      </c>
      <c r="J15" s="14"/>
      <c r="K15" s="14">
        <f t="shared" si="9"/>
        <v>5295.55</v>
      </c>
      <c r="L15" s="14"/>
      <c r="M15" s="14">
        <f t="shared" si="9"/>
        <v>5295.55</v>
      </c>
      <c r="N15" s="14"/>
      <c r="O15" s="14">
        <f t="shared" si="9"/>
        <v>5295.55</v>
      </c>
      <c r="P15" s="14"/>
      <c r="Q15" s="14">
        <f t="shared" si="9"/>
        <v>6354.65</v>
      </c>
    </row>
    <row r="16" spans="1:19" ht="39" customHeight="1" x14ac:dyDescent="0.25">
      <c r="A16" s="16"/>
      <c r="B16" s="16"/>
      <c r="C16" s="61" t="s">
        <v>40</v>
      </c>
      <c r="D16" s="16"/>
      <c r="E16" s="62">
        <f>ROUND((E6+E7+E8+E9+E10+E11+E13+E14+E15+E12)*0.302,2)</f>
        <v>8741.91</v>
      </c>
      <c r="F16" s="62"/>
      <c r="G16" s="62">
        <f>ROUND((G6+G7+G8+G9+G10+G11+G13+G14+G15+G12)*0.302,2)</f>
        <v>9721</v>
      </c>
      <c r="H16" s="62"/>
      <c r="I16" s="62">
        <f t="shared" ref="I16:Q16" si="10">ROUND((I6+I7+I8+I9+I10+I11+I13+I14+I15+I12)*0.302,2)</f>
        <v>9721</v>
      </c>
      <c r="J16" s="62"/>
      <c r="K16" s="62">
        <f t="shared" si="10"/>
        <v>15354.71</v>
      </c>
      <c r="L16" s="62"/>
      <c r="M16" s="62">
        <f t="shared" si="10"/>
        <v>13987.05</v>
      </c>
      <c r="N16" s="62"/>
      <c r="O16" s="62">
        <f t="shared" si="10"/>
        <v>13987.05</v>
      </c>
      <c r="P16" s="62"/>
      <c r="Q16" s="62">
        <f t="shared" si="10"/>
        <v>18425.650000000001</v>
      </c>
    </row>
    <row r="17" spans="1:17" ht="36" customHeight="1" x14ac:dyDescent="0.25">
      <c r="A17" s="16"/>
      <c r="B17" s="16"/>
      <c r="C17" s="61" t="s">
        <v>10</v>
      </c>
      <c r="D17" s="16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</row>
    <row r="18" spans="1:17" ht="23.25" customHeight="1" x14ac:dyDescent="0.25">
      <c r="A18" s="16"/>
      <c r="B18" s="16"/>
      <c r="C18" s="63" t="s">
        <v>8</v>
      </c>
      <c r="D18" s="16"/>
      <c r="E18" s="14">
        <f>E6+E7+E8+E9+E10+E11+E13+E14+E16+E15+E12</f>
        <v>37688.629999999997</v>
      </c>
      <c r="F18" s="14"/>
      <c r="G18" s="14">
        <f>G6+G7+G8+G9+G10+G11+G13+G14+G16+G15+G12</f>
        <v>41909.750000000007</v>
      </c>
      <c r="H18" s="14"/>
      <c r="I18" s="14">
        <f t="shared" ref="I18:Q18" si="11">I6+I7+I8+I9+I10+I11+I13+I14+I16+I15+I12</f>
        <v>41909.750000000007</v>
      </c>
      <c r="J18" s="14"/>
      <c r="K18" s="14">
        <f t="shared" si="11"/>
        <v>66198.12</v>
      </c>
      <c r="L18" s="14"/>
      <c r="M18" s="14">
        <f t="shared" si="11"/>
        <v>60301.80000000001</v>
      </c>
      <c r="N18" s="14"/>
      <c r="O18" s="14">
        <f t="shared" si="11"/>
        <v>60301.80000000001</v>
      </c>
      <c r="P18" s="14"/>
      <c r="Q18" s="14">
        <f t="shared" si="11"/>
        <v>79437.739999999991</v>
      </c>
    </row>
    <row r="19" spans="1:17" ht="24.75" customHeight="1" x14ac:dyDescent="0.25">
      <c r="A19" s="16"/>
      <c r="B19" s="16"/>
      <c r="C19" s="63" t="s">
        <v>9</v>
      </c>
      <c r="D19" s="16"/>
      <c r="E19" s="14">
        <f t="shared" ref="E19" si="12">ROUND(E18*12,2)</f>
        <v>452263.56</v>
      </c>
      <c r="F19" s="15"/>
      <c r="G19" s="14">
        <f>ROUND(G18*12,2)</f>
        <v>502917</v>
      </c>
      <c r="H19" s="14"/>
      <c r="I19" s="14">
        <f t="shared" ref="I19:Q19" si="13">ROUND(I18*12,2)</f>
        <v>502917</v>
      </c>
      <c r="J19" s="14"/>
      <c r="K19" s="14">
        <f t="shared" si="13"/>
        <v>794377.44</v>
      </c>
      <c r="L19" s="14"/>
      <c r="M19" s="14">
        <f t="shared" si="13"/>
        <v>723621.6</v>
      </c>
      <c r="N19" s="14"/>
      <c r="O19" s="14">
        <f t="shared" si="13"/>
        <v>723621.6</v>
      </c>
      <c r="P19" s="14"/>
      <c r="Q19" s="14">
        <f t="shared" si="13"/>
        <v>953252.88</v>
      </c>
    </row>
    <row r="20" spans="1:17" ht="45" x14ac:dyDescent="0.25">
      <c r="A20" s="17">
        <v>2</v>
      </c>
      <c r="B20" s="61" t="s">
        <v>3</v>
      </c>
      <c r="C20" s="61" t="s">
        <v>22</v>
      </c>
      <c r="D20" s="17">
        <v>0.25</v>
      </c>
      <c r="E20" s="14">
        <f>ROUND(7471*D20,2)</f>
        <v>1867.75</v>
      </c>
      <c r="F20" s="14">
        <v>0.25</v>
      </c>
      <c r="G20" s="14">
        <f>ROUND(7471*F20,2)</f>
        <v>1867.75</v>
      </c>
      <c r="H20" s="17">
        <v>0.25</v>
      </c>
      <c r="I20" s="14">
        <f>ROUND(7471*H20,2)</f>
        <v>1867.75</v>
      </c>
      <c r="J20" s="17">
        <v>0.25</v>
      </c>
      <c r="K20" s="14">
        <f>ROUND(7471*J20,2)</f>
        <v>1867.75</v>
      </c>
      <c r="L20" s="17">
        <v>0.25</v>
      </c>
      <c r="M20" s="14">
        <f>ROUND(7471*L20,2)</f>
        <v>1867.75</v>
      </c>
      <c r="N20" s="17">
        <v>0.25</v>
      </c>
      <c r="O20" s="14">
        <f>ROUND(7471*N20,2)</f>
        <v>1867.75</v>
      </c>
      <c r="P20" s="17">
        <v>0.25</v>
      </c>
      <c r="Q20" s="14">
        <f>ROUND(7471*P20,2)</f>
        <v>1867.75</v>
      </c>
    </row>
    <row r="21" spans="1:17" ht="45" x14ac:dyDescent="0.25">
      <c r="A21" s="16"/>
      <c r="B21" s="16"/>
      <c r="C21" s="61" t="s">
        <v>36</v>
      </c>
      <c r="D21" s="16"/>
      <c r="E21" s="14">
        <f>ROUND(E20*0.3,2)</f>
        <v>560.33000000000004</v>
      </c>
      <c r="F21" s="15"/>
      <c r="G21" s="14">
        <f>ROUND(G20*0.3,2)</f>
        <v>560.33000000000004</v>
      </c>
      <c r="H21" s="16"/>
      <c r="I21" s="14">
        <f>ROUND(I20*0.3,2)</f>
        <v>560.33000000000004</v>
      </c>
      <c r="J21" s="16"/>
      <c r="K21" s="14">
        <f>ROUND(K20*0.3,2)</f>
        <v>560.33000000000004</v>
      </c>
      <c r="L21" s="16"/>
      <c r="M21" s="14">
        <f>ROUND(M20*0.3,2)</f>
        <v>560.33000000000004</v>
      </c>
      <c r="N21" s="16"/>
      <c r="O21" s="14">
        <f>ROUND(O20*0.3,2)</f>
        <v>560.33000000000004</v>
      </c>
      <c r="P21" s="16"/>
      <c r="Q21" s="14">
        <f>ROUND(Q20*0.3,2)</f>
        <v>560.33000000000004</v>
      </c>
    </row>
    <row r="22" spans="1:17" ht="69.75" customHeight="1" x14ac:dyDescent="0.25">
      <c r="A22" s="16"/>
      <c r="B22" s="16"/>
      <c r="C22" s="61" t="s">
        <v>46</v>
      </c>
      <c r="D22" s="16"/>
      <c r="E22" s="14"/>
      <c r="F22" s="15"/>
      <c r="G22" s="14"/>
      <c r="H22" s="16"/>
      <c r="I22" s="14"/>
      <c r="J22" s="16"/>
      <c r="K22" s="14">
        <f>ROUND((K20+K21)*0.2,2)</f>
        <v>485.62</v>
      </c>
      <c r="L22" s="16"/>
      <c r="M22" s="14"/>
      <c r="N22" s="16"/>
      <c r="O22" s="14"/>
      <c r="P22" s="16"/>
      <c r="Q22" s="14">
        <f>ROUND((Q20+Q21)*0.2,2)</f>
        <v>485.62</v>
      </c>
    </row>
    <row r="23" spans="1:17" ht="60" x14ac:dyDescent="0.25">
      <c r="A23" s="16"/>
      <c r="B23" s="16"/>
      <c r="C23" s="61" t="s">
        <v>37</v>
      </c>
      <c r="D23" s="16"/>
      <c r="E23" s="14">
        <f>ROUND((E20+E21)*0.3,2)</f>
        <v>728.42</v>
      </c>
      <c r="F23" s="15"/>
      <c r="G23" s="14">
        <f>ROUND((G20+G21)*0.3,2)</f>
        <v>728.42</v>
      </c>
      <c r="H23" s="16"/>
      <c r="I23" s="14">
        <f>ROUND((I20+I21)*0.3,2)</f>
        <v>728.42</v>
      </c>
      <c r="J23" s="16"/>
      <c r="K23" s="14">
        <f>ROUND((K20+K21)*0.3,2)</f>
        <v>728.42</v>
      </c>
      <c r="L23" s="16"/>
      <c r="M23" s="14">
        <f>ROUND((M20+M21)*0.3,2)</f>
        <v>728.42</v>
      </c>
      <c r="N23" s="16"/>
      <c r="O23" s="14">
        <f>ROUND((O20+O21)*0.3,2)</f>
        <v>728.42</v>
      </c>
      <c r="P23" s="16"/>
      <c r="Q23" s="14">
        <f>ROUND((Q20+Q21)*0.3,2)</f>
        <v>728.42</v>
      </c>
    </row>
    <row r="24" spans="1:17" ht="75" x14ac:dyDescent="0.25">
      <c r="A24" s="16"/>
      <c r="B24" s="16"/>
      <c r="C24" s="61" t="s">
        <v>33</v>
      </c>
      <c r="D24" s="61"/>
      <c r="E24" s="62">
        <f>ROUND((E20+E21)*0.05,2)</f>
        <v>121.4</v>
      </c>
      <c r="F24" s="14"/>
      <c r="G24" s="14">
        <f>ROUND((G20+G21)*0.05,2)</f>
        <v>121.4</v>
      </c>
      <c r="H24" s="14"/>
      <c r="I24" s="14">
        <f>ROUND((I20+I21)*0.05,2)</f>
        <v>121.4</v>
      </c>
      <c r="J24" s="14"/>
      <c r="K24" s="14">
        <f>ROUND((K20+K21)*0.05,2)</f>
        <v>121.4</v>
      </c>
      <c r="L24" s="14"/>
      <c r="M24" s="14">
        <f>ROUND((M20+M21)*0.05,2)</f>
        <v>121.4</v>
      </c>
      <c r="N24" s="14"/>
      <c r="O24" s="14">
        <f>ROUND((O20+O21)*0.05,2)</f>
        <v>121.4</v>
      </c>
      <c r="P24" s="14"/>
      <c r="Q24" s="14">
        <f>ROUND((Q20+Q21)*0.05,2)</f>
        <v>121.4</v>
      </c>
    </row>
    <row r="25" spans="1:17" ht="45" x14ac:dyDescent="0.25">
      <c r="A25" s="16"/>
      <c r="B25" s="16"/>
      <c r="C25" s="61" t="s">
        <v>34</v>
      </c>
      <c r="D25" s="61"/>
      <c r="E25" s="62">
        <f>ROUND(E20*0.4,2)</f>
        <v>747.1</v>
      </c>
      <c r="F25" s="14"/>
      <c r="G25" s="14">
        <f>ROUND(G20*0.4,2)</f>
        <v>747.1</v>
      </c>
      <c r="H25" s="14"/>
      <c r="I25" s="14">
        <f t="shared" ref="I25:Q25" si="14">ROUND(I20*0.4,2)</f>
        <v>747.1</v>
      </c>
      <c r="J25" s="14"/>
      <c r="K25" s="14">
        <f t="shared" si="14"/>
        <v>747.1</v>
      </c>
      <c r="L25" s="14"/>
      <c r="M25" s="14">
        <f t="shared" si="14"/>
        <v>747.1</v>
      </c>
      <c r="N25" s="14"/>
      <c r="O25" s="14">
        <f t="shared" si="14"/>
        <v>747.1</v>
      </c>
      <c r="P25" s="14"/>
      <c r="Q25" s="14">
        <f t="shared" si="14"/>
        <v>747.1</v>
      </c>
    </row>
    <row r="26" spans="1:17" ht="35.25" customHeight="1" x14ac:dyDescent="0.25">
      <c r="A26" s="16"/>
      <c r="B26" s="16"/>
      <c r="C26" s="61" t="s">
        <v>35</v>
      </c>
      <c r="D26" s="61"/>
      <c r="E26" s="62">
        <f>ROUND(E20*0.2,2)</f>
        <v>373.55</v>
      </c>
      <c r="F26" s="14"/>
      <c r="G26" s="14">
        <f>ROUND(G20*0.2,2)</f>
        <v>373.55</v>
      </c>
      <c r="H26" s="14"/>
      <c r="I26" s="14">
        <f>ROUND(I20*0.2,2)</f>
        <v>373.55</v>
      </c>
      <c r="J26" s="14"/>
      <c r="K26" s="14">
        <f>ROUND(K20*0.2,2)</f>
        <v>373.55</v>
      </c>
      <c r="L26" s="14"/>
      <c r="M26" s="14">
        <f>ROUND(M20*0.2,2)</f>
        <v>373.55</v>
      </c>
      <c r="N26" s="14"/>
      <c r="O26" s="14">
        <f>ROUND(O20*0.2,2)</f>
        <v>373.55</v>
      </c>
      <c r="P26" s="14"/>
      <c r="Q26" s="14">
        <f>ROUND(Q20*0.2,2)</f>
        <v>373.55</v>
      </c>
    </row>
    <row r="27" spans="1:17" x14ac:dyDescent="0.25">
      <c r="A27" s="16"/>
      <c r="B27" s="16"/>
      <c r="C27" s="16" t="s">
        <v>38</v>
      </c>
      <c r="D27" s="16"/>
      <c r="E27" s="14">
        <f>ROUND((E20+E21+E22++E23+E24+E25+E26)*0.05,2)</f>
        <v>219.93</v>
      </c>
      <c r="F27" s="14"/>
      <c r="G27" s="14">
        <f>ROUND((G20+G21+G22++G23+G24+G25+G26)*0.05,2)</f>
        <v>219.93</v>
      </c>
      <c r="H27" s="14"/>
      <c r="I27" s="14">
        <f t="shared" ref="I27:Q27" si="15">ROUND((I20+I21+I22++I23+I24+I25+I26)*0.05,2)</f>
        <v>219.93</v>
      </c>
      <c r="J27" s="14"/>
      <c r="K27" s="14">
        <f t="shared" si="15"/>
        <v>244.21</v>
      </c>
      <c r="L27" s="14"/>
      <c r="M27" s="14">
        <f t="shared" si="15"/>
        <v>219.93</v>
      </c>
      <c r="N27" s="14"/>
      <c r="O27" s="14">
        <f t="shared" si="15"/>
        <v>219.93</v>
      </c>
      <c r="P27" s="14"/>
      <c r="Q27" s="14">
        <f t="shared" si="15"/>
        <v>244.21</v>
      </c>
    </row>
    <row r="28" spans="1:17" ht="30" x14ac:dyDescent="0.25">
      <c r="A28" s="16"/>
      <c r="B28" s="16"/>
      <c r="C28" s="61" t="s">
        <v>39</v>
      </c>
      <c r="D28" s="16"/>
      <c r="E28" s="17">
        <f>ROUND((E20+E21+E22+E23+E24+E25+E26)*0.01,2)</f>
        <v>43.99</v>
      </c>
      <c r="F28" s="17"/>
      <c r="G28" s="17">
        <f>ROUND((G20+G21+G22+G23+G24+G25+G26)*0.01,2)</f>
        <v>43.99</v>
      </c>
      <c r="H28" s="17"/>
      <c r="I28" s="17">
        <f t="shared" ref="I28:Q28" si="16">ROUND((I20+I21+I22+I23+I24+I25+I26)*0.01,2)</f>
        <v>43.99</v>
      </c>
      <c r="J28" s="17"/>
      <c r="K28" s="17">
        <f t="shared" si="16"/>
        <v>48.84</v>
      </c>
      <c r="L28" s="17"/>
      <c r="M28" s="17">
        <f t="shared" si="16"/>
        <v>43.99</v>
      </c>
      <c r="N28" s="17"/>
      <c r="O28" s="17">
        <f t="shared" si="16"/>
        <v>43.99</v>
      </c>
      <c r="P28" s="17"/>
      <c r="Q28" s="17">
        <f t="shared" si="16"/>
        <v>48.84</v>
      </c>
    </row>
    <row r="29" spans="1:17" ht="52.5" customHeight="1" x14ac:dyDescent="0.25">
      <c r="A29" s="16"/>
      <c r="B29" s="16"/>
      <c r="C29" s="61" t="s">
        <v>40</v>
      </c>
      <c r="D29" s="61"/>
      <c r="E29" s="62">
        <f>ROUND((E20+E21+E22+E23+E24+E25+E27+E28+E26)*0.302,2)</f>
        <v>1408.07</v>
      </c>
      <c r="F29" s="62"/>
      <c r="G29" s="62">
        <f t="shared" ref="G29:Q29" si="17">ROUND((G20+G21+G22+G23+G24+G25+G27+G28+G26)*0.302,2)</f>
        <v>1408.07</v>
      </c>
      <c r="H29" s="62"/>
      <c r="I29" s="62">
        <f t="shared" si="17"/>
        <v>1408.07</v>
      </c>
      <c r="J29" s="62"/>
      <c r="K29" s="62">
        <f t="shared" si="17"/>
        <v>1563.52</v>
      </c>
      <c r="L29" s="62"/>
      <c r="M29" s="62">
        <f t="shared" si="17"/>
        <v>1408.07</v>
      </c>
      <c r="N29" s="62"/>
      <c r="O29" s="62">
        <f t="shared" si="17"/>
        <v>1408.07</v>
      </c>
      <c r="P29" s="62"/>
      <c r="Q29" s="62">
        <f t="shared" si="17"/>
        <v>1563.52</v>
      </c>
    </row>
    <row r="30" spans="1:17" ht="39" customHeight="1" x14ac:dyDescent="0.25">
      <c r="A30" s="16"/>
      <c r="B30" s="16"/>
      <c r="C30" s="61" t="s">
        <v>60</v>
      </c>
      <c r="D30" s="61"/>
      <c r="E30" s="62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</row>
    <row r="31" spans="1:17" x14ac:dyDescent="0.25">
      <c r="A31" s="16"/>
      <c r="B31" s="16"/>
      <c r="C31" s="63" t="s">
        <v>8</v>
      </c>
      <c r="D31" s="61"/>
      <c r="E31" s="62">
        <f>E20+E21+E22+E23+E24+E25+E27+E28+E29+E26</f>
        <v>6070.54</v>
      </c>
      <c r="F31" s="14"/>
      <c r="G31" s="14">
        <f t="shared" ref="G31" si="18">G20+G21+G22+G23+G24+G25+G27+G28+G26+G29</f>
        <v>6070.54</v>
      </c>
      <c r="H31" s="14"/>
      <c r="I31" s="14">
        <f>I20+I21+I22+I23+I24+I25+I27+I28+I26+I29</f>
        <v>6070.54</v>
      </c>
      <c r="J31" s="14"/>
      <c r="K31" s="14">
        <f t="shared" ref="K31:Q31" si="19">K20+K21+K22+K23+K24+K25+K27+K28+K26+K29</f>
        <v>6740.74</v>
      </c>
      <c r="L31" s="14"/>
      <c r="M31" s="14">
        <f t="shared" si="19"/>
        <v>6070.54</v>
      </c>
      <c r="N31" s="14"/>
      <c r="O31" s="14">
        <f t="shared" si="19"/>
        <v>6070.54</v>
      </c>
      <c r="P31" s="14"/>
      <c r="Q31" s="14">
        <f t="shared" si="19"/>
        <v>6740.74</v>
      </c>
    </row>
    <row r="32" spans="1:17" x14ac:dyDescent="0.25">
      <c r="A32" s="16"/>
      <c r="B32" s="16"/>
      <c r="C32" s="63" t="s">
        <v>9</v>
      </c>
      <c r="D32" s="63"/>
      <c r="E32" s="62">
        <f>ROUND(E31*12,2)</f>
        <v>72846.48</v>
      </c>
      <c r="F32" s="15"/>
      <c r="G32" s="14">
        <f>ROUND(G31*12,2)</f>
        <v>72846.48</v>
      </c>
      <c r="H32" s="14"/>
      <c r="I32" s="14">
        <f t="shared" ref="I32:Q32" si="20">ROUND(I31*12,2)</f>
        <v>72846.48</v>
      </c>
      <c r="J32" s="14"/>
      <c r="K32" s="14">
        <f t="shared" si="20"/>
        <v>80888.88</v>
      </c>
      <c r="L32" s="14"/>
      <c r="M32" s="14">
        <f t="shared" si="20"/>
        <v>72846.48</v>
      </c>
      <c r="N32" s="14"/>
      <c r="O32" s="14">
        <f t="shared" si="20"/>
        <v>72846.48</v>
      </c>
      <c r="P32" s="14"/>
      <c r="Q32" s="14">
        <f t="shared" si="20"/>
        <v>80888.88</v>
      </c>
    </row>
    <row r="33" spans="1:17" ht="45" x14ac:dyDescent="0.25">
      <c r="A33" s="17">
        <v>3</v>
      </c>
      <c r="B33" s="61" t="s">
        <v>14</v>
      </c>
      <c r="C33" s="61" t="s">
        <v>22</v>
      </c>
      <c r="D33" s="64">
        <v>0.125</v>
      </c>
      <c r="E33" s="62">
        <f>ROUND(7471*D33,2)</f>
        <v>933.88</v>
      </c>
      <c r="F33" s="20"/>
      <c r="G33" s="14">
        <f>ROUND(7471*F33,2)</f>
        <v>0</v>
      </c>
      <c r="H33" s="20">
        <v>0.125</v>
      </c>
      <c r="I33" s="14">
        <f>ROUND(7471*H33,2)</f>
        <v>933.88</v>
      </c>
      <c r="J33" s="20">
        <v>0.125</v>
      </c>
      <c r="K33" s="14">
        <f>ROUND(7471*J33,2)</f>
        <v>933.88</v>
      </c>
      <c r="L33" s="20"/>
      <c r="M33" s="14">
        <f>ROUND(7471*L33,2)</f>
        <v>0</v>
      </c>
      <c r="N33" s="20">
        <v>0.125</v>
      </c>
      <c r="O33" s="14">
        <f>ROUND(7471*N33,2)</f>
        <v>933.88</v>
      </c>
      <c r="P33" s="20">
        <v>0.125</v>
      </c>
      <c r="Q33" s="14">
        <f>ROUND(7471*P33,2)</f>
        <v>933.88</v>
      </c>
    </row>
    <row r="34" spans="1:17" ht="45" x14ac:dyDescent="0.25">
      <c r="A34" s="16"/>
      <c r="B34" s="16"/>
      <c r="C34" s="61" t="s">
        <v>36</v>
      </c>
      <c r="D34" s="61"/>
      <c r="E34" s="62">
        <f>ROUND(E33*0.3,2)</f>
        <v>280.16000000000003</v>
      </c>
      <c r="F34" s="15"/>
      <c r="G34" s="14">
        <f>ROUND(G33*0.3,2)</f>
        <v>0</v>
      </c>
      <c r="H34" s="16"/>
      <c r="I34" s="14">
        <f>ROUND(I33*0.3,2)</f>
        <v>280.16000000000003</v>
      </c>
      <c r="J34" s="16"/>
      <c r="K34" s="14">
        <f>ROUND(K33*0.3,2)</f>
        <v>280.16000000000003</v>
      </c>
      <c r="L34" s="16"/>
      <c r="M34" s="14">
        <f>ROUND(M33*0.3,2)</f>
        <v>0</v>
      </c>
      <c r="N34" s="16"/>
      <c r="O34" s="14">
        <f>ROUND(O33*0.3,2)</f>
        <v>280.16000000000003</v>
      </c>
      <c r="P34" s="16"/>
      <c r="Q34" s="14">
        <f>ROUND(Q33*0.3,2)</f>
        <v>280.16000000000003</v>
      </c>
    </row>
    <row r="35" spans="1:17" ht="60" x14ac:dyDescent="0.25">
      <c r="A35" s="16"/>
      <c r="B35" s="16"/>
      <c r="C35" s="61" t="s">
        <v>46</v>
      </c>
      <c r="D35" s="61"/>
      <c r="E35" s="62"/>
      <c r="F35" s="15"/>
      <c r="G35" s="14"/>
      <c r="H35" s="16"/>
      <c r="I35" s="14"/>
      <c r="J35" s="16"/>
      <c r="K35" s="14">
        <f>ROUND((K33+K34)*0.2,2)</f>
        <v>242.81</v>
      </c>
      <c r="L35" s="16"/>
      <c r="M35" s="14"/>
      <c r="N35" s="16"/>
      <c r="O35" s="14"/>
      <c r="P35" s="16"/>
      <c r="Q35" s="14">
        <f>ROUND((Q33+Q34)*0.2,2)</f>
        <v>242.81</v>
      </c>
    </row>
    <row r="36" spans="1:17" ht="60" x14ac:dyDescent="0.25">
      <c r="A36" s="16"/>
      <c r="B36" s="16"/>
      <c r="C36" s="61" t="s">
        <v>37</v>
      </c>
      <c r="D36" s="61"/>
      <c r="E36" s="62">
        <f>ROUND((E33+E34)*0.3,2)</f>
        <v>364.21</v>
      </c>
      <c r="F36" s="15"/>
      <c r="G36" s="14">
        <f>ROUND((G33+G34)*0.3,2)</f>
        <v>0</v>
      </c>
      <c r="H36" s="16"/>
      <c r="I36" s="14">
        <f>ROUND((I33+I34)*0.3,2)</f>
        <v>364.21</v>
      </c>
      <c r="J36" s="16"/>
      <c r="K36" s="14">
        <f>ROUND((K33+K34)*0.3,2)</f>
        <v>364.21</v>
      </c>
      <c r="L36" s="16"/>
      <c r="M36" s="14">
        <f>ROUND((M33+M34)*0.3,2)</f>
        <v>0</v>
      </c>
      <c r="N36" s="16"/>
      <c r="O36" s="14">
        <f>ROUND((O33+O34)*0.3,2)</f>
        <v>364.21</v>
      </c>
      <c r="P36" s="16"/>
      <c r="Q36" s="14">
        <f>ROUND((Q33+Q34)*0.3,2)</f>
        <v>364.21</v>
      </c>
    </row>
    <row r="37" spans="1:17" ht="75" x14ac:dyDescent="0.25">
      <c r="A37" s="16"/>
      <c r="B37" s="16"/>
      <c r="C37" s="61" t="s">
        <v>33</v>
      </c>
      <c r="D37" s="61"/>
      <c r="E37" s="62">
        <f>ROUND((E33+E34)*0.05,2)</f>
        <v>60.7</v>
      </c>
      <c r="F37" s="14"/>
      <c r="G37" s="14">
        <f>ROUND((G33+G34)*0.05,2)</f>
        <v>0</v>
      </c>
      <c r="H37" s="14"/>
      <c r="I37" s="14">
        <f>ROUND((I33+I34)*0.05,2)</f>
        <v>60.7</v>
      </c>
      <c r="J37" s="14"/>
      <c r="K37" s="14">
        <f>ROUND((K33+K34)*0.05,2)</f>
        <v>60.7</v>
      </c>
      <c r="L37" s="14"/>
      <c r="M37" s="14">
        <f>ROUND((M33+M34)*0.05,2)</f>
        <v>0</v>
      </c>
      <c r="N37" s="14"/>
      <c r="O37" s="14">
        <f>ROUND((O33+O34)*0.05,2)</f>
        <v>60.7</v>
      </c>
      <c r="P37" s="14"/>
      <c r="Q37" s="14">
        <f>ROUND((Q33+Q34)*0.05,2)</f>
        <v>60.7</v>
      </c>
    </row>
    <row r="38" spans="1:17" ht="45" x14ac:dyDescent="0.25">
      <c r="A38" s="16"/>
      <c r="B38" s="16"/>
      <c r="C38" s="61" t="s">
        <v>34</v>
      </c>
      <c r="D38" s="61"/>
      <c r="E38" s="62">
        <f>ROUND(E33*0.4,2)</f>
        <v>373.55</v>
      </c>
      <c r="F38" s="14"/>
      <c r="G38" s="14">
        <f>ROUND(G33*0.4,2)</f>
        <v>0</v>
      </c>
      <c r="H38" s="14"/>
      <c r="I38" s="14">
        <f t="shared" ref="I38:Q38" si="21">ROUND(I33*0.4,2)</f>
        <v>373.55</v>
      </c>
      <c r="J38" s="14"/>
      <c r="K38" s="14">
        <f t="shared" si="21"/>
        <v>373.55</v>
      </c>
      <c r="L38" s="14"/>
      <c r="M38" s="14">
        <f t="shared" si="21"/>
        <v>0</v>
      </c>
      <c r="N38" s="14"/>
      <c r="O38" s="14">
        <f t="shared" si="21"/>
        <v>373.55</v>
      </c>
      <c r="P38" s="14"/>
      <c r="Q38" s="14">
        <f t="shared" si="21"/>
        <v>373.55</v>
      </c>
    </row>
    <row r="39" spans="1:17" ht="36.75" customHeight="1" x14ac:dyDescent="0.25">
      <c r="A39" s="16"/>
      <c r="B39" s="16"/>
      <c r="C39" s="61" t="s">
        <v>35</v>
      </c>
      <c r="D39" s="61"/>
      <c r="E39" s="62">
        <f>ROUND(E33*0.2,2)</f>
        <v>186.78</v>
      </c>
      <c r="F39" s="14"/>
      <c r="G39" s="14">
        <f>ROUND(G33*0.2,2)</f>
        <v>0</v>
      </c>
      <c r="H39" s="14"/>
      <c r="I39" s="14">
        <f t="shared" ref="I39:Q39" si="22">ROUND(I33*0.2,2)</f>
        <v>186.78</v>
      </c>
      <c r="J39" s="14"/>
      <c r="K39" s="14">
        <f t="shared" si="22"/>
        <v>186.78</v>
      </c>
      <c r="L39" s="14"/>
      <c r="M39" s="14">
        <f t="shared" si="22"/>
        <v>0</v>
      </c>
      <c r="N39" s="14"/>
      <c r="O39" s="14">
        <f t="shared" si="22"/>
        <v>186.78</v>
      </c>
      <c r="P39" s="14"/>
      <c r="Q39" s="14">
        <f t="shared" si="22"/>
        <v>186.78</v>
      </c>
    </row>
    <row r="40" spans="1:17" ht="26.25" customHeight="1" x14ac:dyDescent="0.25">
      <c r="A40" s="16"/>
      <c r="B40" s="16"/>
      <c r="C40" s="16" t="s">
        <v>38</v>
      </c>
      <c r="D40" s="16"/>
      <c r="E40" s="14">
        <f>ROUND((E33+E34+E35+E36+E37+E38+E39)*0.05,2)</f>
        <v>109.96</v>
      </c>
      <c r="F40" s="14"/>
      <c r="G40" s="14">
        <f>ROUND((G33+G34+G35+G36+G37+G38+G39)*0.05,2)</f>
        <v>0</v>
      </c>
      <c r="H40" s="14"/>
      <c r="I40" s="14">
        <f t="shared" ref="I40:Q40" si="23">ROUND((I33+I34+I35+I36+I37+I38+I39)*0.05,2)</f>
        <v>109.96</v>
      </c>
      <c r="J40" s="14"/>
      <c r="K40" s="14">
        <f t="shared" si="23"/>
        <v>122.1</v>
      </c>
      <c r="L40" s="14"/>
      <c r="M40" s="14">
        <f t="shared" si="23"/>
        <v>0</v>
      </c>
      <c r="N40" s="14"/>
      <c r="O40" s="14">
        <f t="shared" si="23"/>
        <v>109.96</v>
      </c>
      <c r="P40" s="14"/>
      <c r="Q40" s="14">
        <f t="shared" si="23"/>
        <v>122.1</v>
      </c>
    </row>
    <row r="41" spans="1:17" ht="30" x14ac:dyDescent="0.25">
      <c r="A41" s="16"/>
      <c r="B41" s="16"/>
      <c r="C41" s="61" t="s">
        <v>39</v>
      </c>
      <c r="D41" s="16"/>
      <c r="E41" s="17">
        <f>ROUND((E33+E34+E35+E36+E37+E38+E39)*0.01,2)</f>
        <v>21.99</v>
      </c>
      <c r="F41" s="17"/>
      <c r="G41" s="17">
        <f>ROUND((G33+G34+G35+G36+G37+G38+G39)*0.01,2)</f>
        <v>0</v>
      </c>
      <c r="H41" s="17"/>
      <c r="I41" s="17">
        <f t="shared" ref="I41:Q41" si="24">ROUND((I33+I34+I35+I36+I37+I38+I39)*0.01,2)</f>
        <v>21.99</v>
      </c>
      <c r="J41" s="17"/>
      <c r="K41" s="17">
        <f t="shared" si="24"/>
        <v>24.42</v>
      </c>
      <c r="L41" s="17"/>
      <c r="M41" s="17">
        <f t="shared" si="24"/>
        <v>0</v>
      </c>
      <c r="N41" s="17"/>
      <c r="O41" s="17">
        <f t="shared" si="24"/>
        <v>21.99</v>
      </c>
      <c r="P41" s="17"/>
      <c r="Q41" s="17">
        <f t="shared" si="24"/>
        <v>24.42</v>
      </c>
    </row>
    <row r="42" spans="1:17" ht="43.5" customHeight="1" x14ac:dyDescent="0.25">
      <c r="A42" s="16"/>
      <c r="B42" s="16"/>
      <c r="C42" s="61" t="s">
        <v>40</v>
      </c>
      <c r="D42" s="61"/>
      <c r="E42" s="62">
        <f>ROUND((E33+E34+E35+E36+E37+E38+E40+E41+E39)*0.302,2)</f>
        <v>704.03</v>
      </c>
      <c r="F42" s="62"/>
      <c r="G42" s="62">
        <f t="shared" ref="G42:Q42" si="25">ROUND((G33+G34+G35+G36+G37+G38+G40+G41+G39)*0.302,2)</f>
        <v>0</v>
      </c>
      <c r="H42" s="62"/>
      <c r="I42" s="62">
        <f t="shared" si="25"/>
        <v>704.03</v>
      </c>
      <c r="J42" s="62"/>
      <c r="K42" s="62">
        <f t="shared" si="25"/>
        <v>781.76</v>
      </c>
      <c r="L42" s="62"/>
      <c r="M42" s="62">
        <f t="shared" si="25"/>
        <v>0</v>
      </c>
      <c r="N42" s="62"/>
      <c r="O42" s="62">
        <f t="shared" si="25"/>
        <v>704.03</v>
      </c>
      <c r="P42" s="62"/>
      <c r="Q42" s="62">
        <f t="shared" si="25"/>
        <v>781.76</v>
      </c>
    </row>
    <row r="43" spans="1:17" x14ac:dyDescent="0.25">
      <c r="A43" s="16"/>
      <c r="B43" s="16"/>
      <c r="C43" s="63" t="s">
        <v>8</v>
      </c>
      <c r="D43" s="61"/>
      <c r="E43" s="14">
        <f>E33+E34+E35+E36+E37+E38+E40+E41+E39+E42</f>
        <v>3035.26</v>
      </c>
      <c r="F43" s="14"/>
      <c r="G43" s="14">
        <f t="shared" ref="G43:Q43" si="26">G33+G34+G35+G36+G37+G38+G40+G41+G39+G42</f>
        <v>0</v>
      </c>
      <c r="H43" s="14"/>
      <c r="I43" s="14">
        <f t="shared" si="26"/>
        <v>3035.26</v>
      </c>
      <c r="J43" s="14"/>
      <c r="K43" s="14">
        <f t="shared" si="26"/>
        <v>3370.37</v>
      </c>
      <c r="L43" s="14"/>
      <c r="M43" s="14">
        <f t="shared" si="26"/>
        <v>0</v>
      </c>
      <c r="N43" s="14"/>
      <c r="O43" s="14">
        <f t="shared" si="26"/>
        <v>3035.26</v>
      </c>
      <c r="P43" s="14"/>
      <c r="Q43" s="14">
        <f t="shared" si="26"/>
        <v>3370.37</v>
      </c>
    </row>
    <row r="44" spans="1:17" x14ac:dyDescent="0.25">
      <c r="A44" s="16"/>
      <c r="B44" s="16"/>
      <c r="C44" s="63" t="s">
        <v>9</v>
      </c>
      <c r="D44" s="63"/>
      <c r="E44" s="14">
        <f t="shared" ref="E44" si="27">ROUND(E43*12,2)</f>
        <v>36423.120000000003</v>
      </c>
      <c r="F44" s="14"/>
      <c r="G44" s="14">
        <f>ROUND(G43*12,2)</f>
        <v>0</v>
      </c>
      <c r="H44" s="14"/>
      <c r="I44" s="14">
        <f t="shared" ref="I44:Q44" si="28">ROUND(I43*12,2)</f>
        <v>36423.120000000003</v>
      </c>
      <c r="J44" s="14"/>
      <c r="K44" s="14">
        <f t="shared" si="28"/>
        <v>40444.44</v>
      </c>
      <c r="L44" s="14"/>
      <c r="M44" s="14">
        <f t="shared" si="28"/>
        <v>0</v>
      </c>
      <c r="N44" s="14"/>
      <c r="O44" s="14">
        <f t="shared" si="28"/>
        <v>36423.120000000003</v>
      </c>
      <c r="P44" s="14"/>
      <c r="Q44" s="14">
        <f t="shared" si="28"/>
        <v>40444.44</v>
      </c>
    </row>
    <row r="45" spans="1:17" ht="65.25" customHeight="1" x14ac:dyDescent="0.25">
      <c r="A45" s="17">
        <v>4</v>
      </c>
      <c r="B45" s="61" t="s">
        <v>11</v>
      </c>
      <c r="C45" s="61" t="s">
        <v>22</v>
      </c>
      <c r="D45" s="63"/>
      <c r="E45" s="62"/>
      <c r="F45" s="15"/>
      <c r="G45" s="14"/>
      <c r="H45" s="17"/>
      <c r="I45" s="14"/>
      <c r="J45" s="17">
        <v>1</v>
      </c>
      <c r="K45" s="14">
        <v>8621</v>
      </c>
      <c r="L45" s="16"/>
      <c r="M45" s="14"/>
      <c r="N45" s="16"/>
      <c r="O45" s="14"/>
      <c r="P45" s="17">
        <v>1</v>
      </c>
      <c r="Q45" s="14">
        <v>8621</v>
      </c>
    </row>
    <row r="46" spans="1:17" ht="45" x14ac:dyDescent="0.25">
      <c r="A46" s="16"/>
      <c r="B46" s="16"/>
      <c r="C46" s="61" t="s">
        <v>36</v>
      </c>
      <c r="D46" s="61"/>
      <c r="E46" s="62"/>
      <c r="F46" s="15"/>
      <c r="G46" s="14"/>
      <c r="H46" s="16"/>
      <c r="I46" s="14"/>
      <c r="J46" s="16"/>
      <c r="K46" s="14">
        <f>ROUND(K45*0.3,2)</f>
        <v>2586.3000000000002</v>
      </c>
      <c r="L46" s="16"/>
      <c r="M46" s="14"/>
      <c r="N46" s="16"/>
      <c r="O46" s="14"/>
      <c r="P46" s="16"/>
      <c r="Q46" s="14">
        <f>ROUND(Q45*0.3,2)</f>
        <v>2586.3000000000002</v>
      </c>
    </row>
    <row r="47" spans="1:17" ht="55.5" customHeight="1" x14ac:dyDescent="0.25">
      <c r="A47" s="16"/>
      <c r="B47" s="16"/>
      <c r="C47" s="61" t="s">
        <v>46</v>
      </c>
      <c r="D47" s="61"/>
      <c r="E47" s="62"/>
      <c r="F47" s="15"/>
      <c r="G47" s="14"/>
      <c r="H47" s="16"/>
      <c r="I47" s="14"/>
      <c r="J47" s="16"/>
      <c r="K47" s="14">
        <f>ROUND((K45+K46)*0.2,2)</f>
        <v>2241.46</v>
      </c>
      <c r="L47" s="16"/>
      <c r="M47" s="14"/>
      <c r="N47" s="16"/>
      <c r="O47" s="14"/>
      <c r="P47" s="16"/>
      <c r="Q47" s="14">
        <f>ROUND((Q45+Q46)*0.2,2)</f>
        <v>2241.46</v>
      </c>
    </row>
    <row r="48" spans="1:17" ht="60" x14ac:dyDescent="0.25">
      <c r="A48" s="16"/>
      <c r="B48" s="16"/>
      <c r="C48" s="61" t="s">
        <v>37</v>
      </c>
      <c r="D48" s="61"/>
      <c r="E48" s="62"/>
      <c r="F48" s="15"/>
      <c r="G48" s="14"/>
      <c r="H48" s="16"/>
      <c r="I48" s="14"/>
      <c r="J48" s="16"/>
      <c r="K48" s="14">
        <f>ROUND((K45+K46)*0.3,2)</f>
        <v>3362.19</v>
      </c>
      <c r="L48" s="16"/>
      <c r="M48" s="14"/>
      <c r="N48" s="16"/>
      <c r="O48" s="14"/>
      <c r="P48" s="16"/>
      <c r="Q48" s="14">
        <f>ROUND((Q45+Q46)*0.3,2)</f>
        <v>3362.19</v>
      </c>
    </row>
    <row r="49" spans="1:17" ht="75" x14ac:dyDescent="0.25">
      <c r="A49" s="16"/>
      <c r="B49" s="16"/>
      <c r="C49" s="61" t="s">
        <v>33</v>
      </c>
      <c r="D49" s="61"/>
      <c r="E49" s="62"/>
      <c r="F49" s="15"/>
      <c r="G49" s="14"/>
      <c r="H49" s="16"/>
      <c r="I49" s="14"/>
      <c r="J49" s="16"/>
      <c r="K49" s="14">
        <f>ROUND((K45+K46)*0.05,2)</f>
        <v>560.37</v>
      </c>
      <c r="L49" s="16"/>
      <c r="M49" s="14"/>
      <c r="N49" s="16"/>
      <c r="O49" s="14"/>
      <c r="P49" s="16"/>
      <c r="Q49" s="14">
        <f>ROUND((Q45+Q46)*0.05,2)</f>
        <v>560.37</v>
      </c>
    </row>
    <row r="50" spans="1:17" ht="45" x14ac:dyDescent="0.25">
      <c r="A50" s="16"/>
      <c r="B50" s="16"/>
      <c r="C50" s="61" t="s">
        <v>34</v>
      </c>
      <c r="D50" s="61"/>
      <c r="E50" s="62"/>
      <c r="F50" s="15"/>
      <c r="G50" s="14"/>
      <c r="H50" s="16"/>
      <c r="I50" s="14"/>
      <c r="J50" s="16"/>
      <c r="K50" s="14">
        <f>ROUND(K45*0.4,2)</f>
        <v>3448.4</v>
      </c>
      <c r="L50" s="16"/>
      <c r="M50" s="14"/>
      <c r="N50" s="16"/>
      <c r="O50" s="14"/>
      <c r="P50" s="16"/>
      <c r="Q50" s="14">
        <f>ROUND(Q45*0.4,2)</f>
        <v>3448.4</v>
      </c>
    </row>
    <row r="51" spans="1:17" ht="39.75" customHeight="1" x14ac:dyDescent="0.25">
      <c r="A51" s="16"/>
      <c r="B51" s="16"/>
      <c r="C51" s="61" t="s">
        <v>35</v>
      </c>
      <c r="D51" s="61"/>
      <c r="E51" s="62"/>
      <c r="F51" s="15"/>
      <c r="G51" s="14"/>
      <c r="H51" s="16"/>
      <c r="I51" s="14"/>
      <c r="J51" s="16"/>
      <c r="K51" s="14">
        <f>ROUND(K45*0.2,2)</f>
        <v>1724.2</v>
      </c>
      <c r="L51" s="16"/>
      <c r="M51" s="14"/>
      <c r="N51" s="16"/>
      <c r="O51" s="14"/>
      <c r="P51" s="16"/>
      <c r="Q51" s="14">
        <f>ROUND(Q45*0.2,2)</f>
        <v>1724.2</v>
      </c>
    </row>
    <row r="52" spans="1:17" x14ac:dyDescent="0.25">
      <c r="A52" s="16"/>
      <c r="B52" s="16"/>
      <c r="C52" s="16" t="s">
        <v>38</v>
      </c>
      <c r="D52" s="61"/>
      <c r="E52" s="62"/>
      <c r="F52" s="15"/>
      <c r="G52" s="14"/>
      <c r="H52" s="16"/>
      <c r="I52" s="14"/>
      <c r="J52" s="16"/>
      <c r="K52" s="14">
        <f>ROUND((K45+K46+K47+K48+K49+K50+K51)*0.05,2)</f>
        <v>1127.2</v>
      </c>
      <c r="L52" s="16"/>
      <c r="M52" s="14"/>
      <c r="N52" s="16"/>
      <c r="O52" s="14"/>
      <c r="P52" s="16"/>
      <c r="Q52" s="14">
        <f>ROUND((Q45+Q46+Q47+Q48+Q49+Q50+Q51)*0.05,2)</f>
        <v>1127.2</v>
      </c>
    </row>
    <row r="53" spans="1:17" ht="36" customHeight="1" x14ac:dyDescent="0.25">
      <c r="A53" s="16"/>
      <c r="B53" s="16"/>
      <c r="C53" s="61" t="s">
        <v>39</v>
      </c>
      <c r="D53" s="16"/>
      <c r="E53" s="14"/>
      <c r="F53" s="15"/>
      <c r="G53" s="14"/>
      <c r="H53" s="16"/>
      <c r="I53" s="14"/>
      <c r="J53" s="16"/>
      <c r="K53" s="17">
        <f>ROUND((K45+K46+K47+K48+K49+K50+K51)*0.01,2)</f>
        <v>225.44</v>
      </c>
      <c r="L53" s="16"/>
      <c r="M53" s="14"/>
      <c r="N53" s="16"/>
      <c r="O53" s="14"/>
      <c r="P53" s="16"/>
      <c r="Q53" s="17">
        <f>ROUND((Q45+Q46+Q47+Q48+Q49+Q50+Q51)*0.01,2)</f>
        <v>225.44</v>
      </c>
    </row>
    <row r="54" spans="1:17" ht="30" x14ac:dyDescent="0.25">
      <c r="A54" s="16"/>
      <c r="B54" s="16"/>
      <c r="C54" s="61" t="s">
        <v>40</v>
      </c>
      <c r="D54" s="61"/>
      <c r="E54" s="62"/>
      <c r="F54" s="15"/>
      <c r="G54" s="14"/>
      <c r="H54" s="16"/>
      <c r="I54" s="14"/>
      <c r="J54" s="16"/>
      <c r="K54" s="62">
        <f>ROUND((K45+K46+K47+K48+K49+K50+K52+K53+K51)*0.302,2)</f>
        <v>7216.76</v>
      </c>
      <c r="L54" s="16"/>
      <c r="M54" s="14"/>
      <c r="N54" s="16"/>
      <c r="O54" s="14"/>
      <c r="P54" s="16"/>
      <c r="Q54" s="62">
        <f>ROUND((Q45+Q46+Q47+Q48+Q49+Q50+Q52+Q53+Q51)*0.302,2)</f>
        <v>7216.76</v>
      </c>
    </row>
    <row r="55" spans="1:17" x14ac:dyDescent="0.25">
      <c r="A55" s="16"/>
      <c r="B55" s="16"/>
      <c r="C55" s="63" t="s">
        <v>8</v>
      </c>
      <c r="D55" s="61"/>
      <c r="E55" s="62"/>
      <c r="F55" s="15"/>
      <c r="G55" s="14"/>
      <c r="H55" s="16"/>
      <c r="I55" s="14"/>
      <c r="J55" s="16"/>
      <c r="K55" s="14">
        <f>K45+K46+K47+K48+K49+K50+K52+K53+K51+K54</f>
        <v>31113.32</v>
      </c>
      <c r="L55" s="16"/>
      <c r="M55" s="14"/>
      <c r="N55" s="16"/>
      <c r="O55" s="14"/>
      <c r="P55" s="16"/>
      <c r="Q55" s="14">
        <f>Q45+Q46+Q47+Q48+Q49+Q50+Q52+Q53+Q51+Q54</f>
        <v>31113.32</v>
      </c>
    </row>
    <row r="56" spans="1:17" x14ac:dyDescent="0.25">
      <c r="A56" s="16"/>
      <c r="B56" s="16"/>
      <c r="C56" s="63" t="s">
        <v>9</v>
      </c>
      <c r="D56" s="63"/>
      <c r="E56" s="62"/>
      <c r="F56" s="15"/>
      <c r="G56" s="14"/>
      <c r="H56" s="16"/>
      <c r="I56" s="14"/>
      <c r="J56" s="16"/>
      <c r="K56" s="14">
        <f>ROUND(K55*12,2)</f>
        <v>373359.84</v>
      </c>
      <c r="L56" s="16"/>
      <c r="M56" s="14"/>
      <c r="N56" s="16"/>
      <c r="O56" s="14"/>
      <c r="P56" s="16"/>
      <c r="Q56" s="14">
        <f>ROUND(Q55*12,2)</f>
        <v>373359.84</v>
      </c>
    </row>
    <row r="57" spans="1:17" ht="30" x14ac:dyDescent="0.25">
      <c r="A57" s="17">
        <v>5</v>
      </c>
      <c r="B57" s="61" t="s">
        <v>12</v>
      </c>
      <c r="C57" s="61" t="s">
        <v>6</v>
      </c>
      <c r="D57" s="64">
        <v>8.3000000000000004E-2</v>
      </c>
      <c r="E57" s="62">
        <f>ROUND(7900*D57,2)</f>
        <v>655.7</v>
      </c>
      <c r="F57" s="20">
        <v>8.3000000000000004E-2</v>
      </c>
      <c r="G57" s="14">
        <f>ROUND(7900*F57,2)</f>
        <v>655.7</v>
      </c>
      <c r="H57" s="20">
        <v>8.3000000000000004E-2</v>
      </c>
      <c r="I57" s="14">
        <f>ROUND(7900*H57,2)</f>
        <v>655.7</v>
      </c>
      <c r="J57" s="20">
        <v>8.3000000000000004E-2</v>
      </c>
      <c r="K57" s="14">
        <f>ROUND(7900*J57,2)</f>
        <v>655.7</v>
      </c>
      <c r="L57" s="20">
        <v>8.3000000000000004E-2</v>
      </c>
      <c r="M57" s="14">
        <f>ROUND(7900*L57,2)</f>
        <v>655.7</v>
      </c>
      <c r="N57" s="20">
        <v>8.3000000000000004E-2</v>
      </c>
      <c r="O57" s="14">
        <f>ROUND(7900*N57,2)</f>
        <v>655.7</v>
      </c>
      <c r="P57" s="20">
        <v>8.3000000000000004E-2</v>
      </c>
      <c r="Q57" s="14">
        <f>ROUND(7900*P57,2)</f>
        <v>655.7</v>
      </c>
    </row>
    <row r="58" spans="1:17" ht="45" x14ac:dyDescent="0.25">
      <c r="A58" s="16"/>
      <c r="B58" s="16"/>
      <c r="C58" s="61" t="s">
        <v>41</v>
      </c>
      <c r="D58" s="61"/>
      <c r="E58" s="62">
        <f>ROUND(E57*0.3,2)</f>
        <v>196.71</v>
      </c>
      <c r="F58" s="15"/>
      <c r="G58" s="14">
        <f>ROUND(G57*0.3,2)</f>
        <v>196.71</v>
      </c>
      <c r="H58" s="16"/>
      <c r="I58" s="14">
        <f>ROUND(I57*0.3,2)</f>
        <v>196.71</v>
      </c>
      <c r="J58" s="16"/>
      <c r="K58" s="14">
        <f>ROUND(K57*0.3,2)</f>
        <v>196.71</v>
      </c>
      <c r="L58" s="16"/>
      <c r="M58" s="14">
        <f>ROUND(M57*0.3,2)</f>
        <v>196.71</v>
      </c>
      <c r="N58" s="16"/>
      <c r="O58" s="14">
        <f>ROUND(O57*0.3,2)</f>
        <v>196.71</v>
      </c>
      <c r="P58" s="16"/>
      <c r="Q58" s="14">
        <f>ROUND(Q57*0.3,2)</f>
        <v>196.71</v>
      </c>
    </row>
    <row r="59" spans="1:17" ht="60" x14ac:dyDescent="0.25">
      <c r="A59" s="16"/>
      <c r="B59" s="16"/>
      <c r="C59" s="61" t="s">
        <v>42</v>
      </c>
      <c r="D59" s="61"/>
      <c r="E59" s="62"/>
      <c r="F59" s="15"/>
      <c r="G59" s="14"/>
      <c r="H59" s="16"/>
      <c r="I59" s="14"/>
      <c r="J59" s="16"/>
      <c r="K59" s="14">
        <f>ROUND((K57+K58)*0.2,2)</f>
        <v>170.48</v>
      </c>
      <c r="L59" s="16"/>
      <c r="M59" s="14"/>
      <c r="N59" s="16"/>
      <c r="O59" s="14"/>
      <c r="P59" s="16"/>
      <c r="Q59" s="14">
        <f>ROUND((Q57+Q58)*0.2,2)</f>
        <v>170.48</v>
      </c>
    </row>
    <row r="60" spans="1:17" ht="60" x14ac:dyDescent="0.25">
      <c r="A60" s="16"/>
      <c r="B60" s="16"/>
      <c r="C60" s="61" t="s">
        <v>48</v>
      </c>
      <c r="D60" s="61"/>
      <c r="E60" s="62">
        <f>ROUND((E57+E58)*0.3,2)</f>
        <v>255.72</v>
      </c>
      <c r="F60" s="15"/>
      <c r="G60" s="14">
        <f>ROUND((G57+G58)*0.3,2)</f>
        <v>255.72</v>
      </c>
      <c r="H60" s="16"/>
      <c r="I60" s="14">
        <f>ROUND((I57+I58)*0.3,2)</f>
        <v>255.72</v>
      </c>
      <c r="J60" s="16"/>
      <c r="K60" s="14">
        <f>ROUND((K57+K58)*0.3,2)</f>
        <v>255.72</v>
      </c>
      <c r="L60" s="16"/>
      <c r="M60" s="14">
        <f>ROUND((M57+M58)*0.3,2)</f>
        <v>255.72</v>
      </c>
      <c r="N60" s="16"/>
      <c r="O60" s="14">
        <f>ROUND((O57+O58)*0.3,2)</f>
        <v>255.72</v>
      </c>
      <c r="P60" s="16"/>
      <c r="Q60" s="14">
        <f>ROUND((Q57+Q58)*0.3,2)</f>
        <v>255.72</v>
      </c>
    </row>
    <row r="61" spans="1:17" ht="75" x14ac:dyDescent="0.25">
      <c r="A61" s="16"/>
      <c r="B61" s="16"/>
      <c r="C61" s="61" t="s">
        <v>43</v>
      </c>
      <c r="D61" s="61"/>
      <c r="E61" s="62">
        <f>ROUND((E57+E58)*0.05,2)</f>
        <v>42.62</v>
      </c>
      <c r="F61" s="14"/>
      <c r="G61" s="14">
        <f>ROUND((G57+G58)*0.05,2)</f>
        <v>42.62</v>
      </c>
      <c r="H61" s="14"/>
      <c r="I61" s="14">
        <f>ROUND((I57+I58)*0.05,2)</f>
        <v>42.62</v>
      </c>
      <c r="J61" s="14"/>
      <c r="K61" s="14">
        <f>ROUND((K57+K58)*0.05,2)</f>
        <v>42.62</v>
      </c>
      <c r="L61" s="14"/>
      <c r="M61" s="14">
        <f>ROUND((M57+M58)*0.05,2)</f>
        <v>42.62</v>
      </c>
      <c r="N61" s="14"/>
      <c r="O61" s="14">
        <f>ROUND((O57+O58)*0.05,2)</f>
        <v>42.62</v>
      </c>
      <c r="P61" s="14"/>
      <c r="Q61" s="14">
        <f>ROUND((Q57+Q58)*0.05,2)</f>
        <v>42.62</v>
      </c>
    </row>
    <row r="62" spans="1:17" ht="45" x14ac:dyDescent="0.25">
      <c r="A62" s="16"/>
      <c r="B62" s="16"/>
      <c r="C62" s="61" t="s">
        <v>44</v>
      </c>
      <c r="D62" s="61"/>
      <c r="E62" s="62">
        <f>ROUND(E57*0.4,2)</f>
        <v>262.27999999999997</v>
      </c>
      <c r="F62" s="14"/>
      <c r="G62" s="14">
        <f>ROUND(G57*0.4,2)</f>
        <v>262.27999999999997</v>
      </c>
      <c r="H62" s="14"/>
      <c r="I62" s="14">
        <f t="shared" ref="I62:Q62" si="29">ROUND(I57*0.4,2)</f>
        <v>262.27999999999997</v>
      </c>
      <c r="J62" s="14"/>
      <c r="K62" s="14">
        <f t="shared" si="29"/>
        <v>262.27999999999997</v>
      </c>
      <c r="L62" s="14"/>
      <c r="M62" s="14">
        <f t="shared" si="29"/>
        <v>262.27999999999997</v>
      </c>
      <c r="N62" s="14"/>
      <c r="O62" s="14">
        <f t="shared" si="29"/>
        <v>262.27999999999997</v>
      </c>
      <c r="P62" s="14"/>
      <c r="Q62" s="14">
        <f t="shared" si="29"/>
        <v>262.27999999999997</v>
      </c>
    </row>
    <row r="63" spans="1:17" ht="41.25" customHeight="1" x14ac:dyDescent="0.25">
      <c r="A63" s="16"/>
      <c r="B63" s="16"/>
      <c r="C63" s="61" t="s">
        <v>45</v>
      </c>
      <c r="D63" s="61"/>
      <c r="E63" s="62">
        <f>ROUND(E57*0.2,2)</f>
        <v>131.13999999999999</v>
      </c>
      <c r="F63" s="14"/>
      <c r="G63" s="14">
        <f>ROUND(G57*0.2,2)</f>
        <v>131.13999999999999</v>
      </c>
      <c r="H63" s="14"/>
      <c r="I63" s="14">
        <f>ROUND(I57*0.2,2)</f>
        <v>131.13999999999999</v>
      </c>
      <c r="J63" s="14"/>
      <c r="K63" s="14">
        <f>ROUND(K57*0.2,2)</f>
        <v>131.13999999999999</v>
      </c>
      <c r="L63" s="14"/>
      <c r="M63" s="14">
        <f>ROUND(M57*0.2,2)</f>
        <v>131.13999999999999</v>
      </c>
      <c r="N63" s="14"/>
      <c r="O63" s="14">
        <f>ROUND(O57*0.2,2)</f>
        <v>131.13999999999999</v>
      </c>
      <c r="P63" s="14"/>
      <c r="Q63" s="14">
        <f>ROUND(Q57*0.2,2)</f>
        <v>131.13999999999999</v>
      </c>
    </row>
    <row r="64" spans="1:17" x14ac:dyDescent="0.25">
      <c r="A64" s="16"/>
      <c r="B64" s="16"/>
      <c r="C64" s="16" t="s">
        <v>38</v>
      </c>
      <c r="D64" s="16"/>
      <c r="E64" s="14">
        <f>ROUND((E57+E58+F59+E60+E61+E62+E63)*0.05,2)</f>
        <v>77.209999999999994</v>
      </c>
      <c r="F64" s="14"/>
      <c r="G64" s="14">
        <f>ROUND((G57+G58+H59+G60+G61+G62+G63)*0.05,2)</f>
        <v>77.209999999999994</v>
      </c>
      <c r="H64" s="14"/>
      <c r="I64" s="14">
        <f>ROUND((I57+I58+J59+I60+I61+I62+I63)*0.05,2)</f>
        <v>77.209999999999994</v>
      </c>
      <c r="J64" s="14"/>
      <c r="K64" s="14">
        <f t="shared" ref="K64:Q64" si="30">ROUND((K57+K58+L59+K60+K61+K62+K63)*0.05,2)</f>
        <v>77.209999999999994</v>
      </c>
      <c r="L64" s="14"/>
      <c r="M64" s="14">
        <f t="shared" si="30"/>
        <v>77.209999999999994</v>
      </c>
      <c r="N64" s="14"/>
      <c r="O64" s="14">
        <f t="shared" si="30"/>
        <v>77.209999999999994</v>
      </c>
      <c r="P64" s="14"/>
      <c r="Q64" s="14">
        <f t="shared" si="30"/>
        <v>77.209999999999994</v>
      </c>
    </row>
    <row r="65" spans="1:17" ht="30" x14ac:dyDescent="0.25">
      <c r="A65" s="16"/>
      <c r="B65" s="16"/>
      <c r="C65" s="61" t="s">
        <v>39</v>
      </c>
      <c r="D65" s="16"/>
      <c r="E65" s="17">
        <f>ROUND((E57+E58+E59+E60+E61+E62+E63)*0.01,2)</f>
        <v>15.44</v>
      </c>
      <c r="F65" s="17"/>
      <c r="G65" s="17">
        <f>ROUND((G57+G58+G59+G60+G61+G62+G63)*0.01,2)</f>
        <v>15.44</v>
      </c>
      <c r="H65" s="17"/>
      <c r="I65" s="17">
        <f>ROUND((I57+I58+I59+I60+I61+I62+I63)*0.01,2)</f>
        <v>15.44</v>
      </c>
      <c r="J65" s="17"/>
      <c r="K65" s="17">
        <f t="shared" ref="K65:Q65" si="31">ROUND((K57+K58+K59+K60+K61+K62+K63)*0.01,2)</f>
        <v>17.149999999999999</v>
      </c>
      <c r="L65" s="17"/>
      <c r="M65" s="17">
        <f t="shared" si="31"/>
        <v>15.44</v>
      </c>
      <c r="N65" s="17"/>
      <c r="O65" s="17">
        <f t="shared" si="31"/>
        <v>15.44</v>
      </c>
      <c r="P65" s="17"/>
      <c r="Q65" s="17">
        <f t="shared" si="31"/>
        <v>17.149999999999999</v>
      </c>
    </row>
    <row r="66" spans="1:17" ht="30" x14ac:dyDescent="0.25">
      <c r="A66" s="16"/>
      <c r="B66" s="16"/>
      <c r="C66" s="61" t="s">
        <v>40</v>
      </c>
      <c r="D66" s="61"/>
      <c r="E66" s="62">
        <f>ROUND((E57+E58+E59+E60+E61+E62+E64+E65+E63)*0.302,2)</f>
        <v>494.32</v>
      </c>
      <c r="F66" s="62"/>
      <c r="G66" s="62">
        <f t="shared" ref="G66:Q66" si="32">ROUND((G57+G58+G59+G60+G61+G62+G64+G65+G63)*0.302,2)</f>
        <v>494.32</v>
      </c>
      <c r="H66" s="62"/>
      <c r="I66" s="62">
        <f t="shared" si="32"/>
        <v>494.32</v>
      </c>
      <c r="J66" s="62"/>
      <c r="K66" s="62">
        <f t="shared" si="32"/>
        <v>546.32000000000005</v>
      </c>
      <c r="L66" s="62"/>
      <c r="M66" s="62">
        <f t="shared" si="32"/>
        <v>494.32</v>
      </c>
      <c r="N66" s="62"/>
      <c r="O66" s="62">
        <f t="shared" si="32"/>
        <v>494.32</v>
      </c>
      <c r="P66" s="62"/>
      <c r="Q66" s="62">
        <f t="shared" si="32"/>
        <v>546.32000000000005</v>
      </c>
    </row>
    <row r="67" spans="1:17" x14ac:dyDescent="0.25">
      <c r="A67" s="16"/>
      <c r="B67" s="16"/>
      <c r="C67" s="63" t="s">
        <v>8</v>
      </c>
      <c r="D67" s="61"/>
      <c r="E67" s="62">
        <f>E56+E57+E58+E59+E60+E61+E63+E64+E65+E62+E66</f>
        <v>2131.14</v>
      </c>
      <c r="F67" s="62"/>
      <c r="G67" s="62">
        <f t="shared" ref="G67:O67" si="33">G56+G57+G58+G59+G60+G61+G63+G64+G65+G62+G66</f>
        <v>2131.14</v>
      </c>
      <c r="H67" s="62"/>
      <c r="I67" s="62">
        <f t="shared" si="33"/>
        <v>2131.14</v>
      </c>
      <c r="J67" s="62"/>
      <c r="K67" s="62">
        <f>K57+K58+K59+K60+K61+K62+K63+K64+K65+K66</f>
        <v>2355.3300000000004</v>
      </c>
      <c r="L67" s="62"/>
      <c r="M67" s="62">
        <f t="shared" si="33"/>
        <v>2131.14</v>
      </c>
      <c r="N67" s="62"/>
      <c r="O67" s="62">
        <f t="shared" si="33"/>
        <v>2131.14</v>
      </c>
      <c r="P67" s="62"/>
      <c r="Q67" s="62">
        <f>Q57+Q58+Q59+Q60+Q61+Q62+Q63+Q64+Q65+Q66</f>
        <v>2355.3300000000004</v>
      </c>
    </row>
    <row r="68" spans="1:17" x14ac:dyDescent="0.25">
      <c r="A68" s="16"/>
      <c r="B68" s="16"/>
      <c r="C68" s="63" t="s">
        <v>9</v>
      </c>
      <c r="D68" s="63"/>
      <c r="E68" s="62">
        <f>ROUND(E67*12,2)</f>
        <v>25573.68</v>
      </c>
      <c r="F68" s="15"/>
      <c r="G68" s="14">
        <f>ROUND(G67*12,2)</f>
        <v>25573.68</v>
      </c>
      <c r="H68" s="16"/>
      <c r="I68" s="14">
        <f>ROUND(I67*12,2)</f>
        <v>25573.68</v>
      </c>
      <c r="J68" s="16"/>
      <c r="K68" s="14">
        <f>ROUND(K67*12,2)</f>
        <v>28263.96</v>
      </c>
      <c r="L68" s="16"/>
      <c r="M68" s="14">
        <f>ROUND(M67*12,2)</f>
        <v>25573.68</v>
      </c>
      <c r="N68" s="16"/>
      <c r="O68" s="14">
        <f>ROUND(O67*12,2)</f>
        <v>25573.68</v>
      </c>
      <c r="P68" s="16"/>
      <c r="Q68" s="14">
        <f>ROUND(Q67*12,2)</f>
        <v>28263.96</v>
      </c>
    </row>
    <row r="69" spans="1:17" ht="30" x14ac:dyDescent="0.25">
      <c r="A69" s="17">
        <v>6</v>
      </c>
      <c r="B69" s="61" t="s">
        <v>5</v>
      </c>
      <c r="C69" s="61" t="s">
        <v>6</v>
      </c>
      <c r="D69" s="64">
        <v>1</v>
      </c>
      <c r="E69" s="62">
        <f>ROUND(5194*D69,0)</f>
        <v>5194</v>
      </c>
      <c r="F69" s="17">
        <v>1.25</v>
      </c>
      <c r="G69" s="14">
        <f>ROUND(5194*F69,0)</f>
        <v>6493</v>
      </c>
      <c r="H69" s="17">
        <v>1.25</v>
      </c>
      <c r="I69" s="14">
        <f>ROUND(5194*H69,0)</f>
        <v>6493</v>
      </c>
      <c r="J69" s="17">
        <v>1.25</v>
      </c>
      <c r="K69" s="14">
        <f>ROUND(5194*J69,0)</f>
        <v>6493</v>
      </c>
      <c r="L69" s="17">
        <v>1.5</v>
      </c>
      <c r="M69" s="14">
        <f>ROUND(5194*L69,0)</f>
        <v>7791</v>
      </c>
      <c r="N69" s="17">
        <v>1.25</v>
      </c>
      <c r="O69" s="14">
        <f>ROUND(5194*N69,0)</f>
        <v>6493</v>
      </c>
      <c r="P69" s="17">
        <v>1.25</v>
      </c>
      <c r="Q69" s="14">
        <f>ROUND(5194*P69,0)</f>
        <v>6493</v>
      </c>
    </row>
    <row r="70" spans="1:17" ht="45" x14ac:dyDescent="0.25">
      <c r="A70" s="17"/>
      <c r="B70" s="61"/>
      <c r="C70" s="61" t="s">
        <v>47</v>
      </c>
      <c r="D70" s="64"/>
      <c r="E70" s="62"/>
      <c r="F70" s="17"/>
      <c r="G70" s="14"/>
      <c r="H70" s="17"/>
      <c r="I70" s="14"/>
      <c r="J70" s="17"/>
      <c r="K70" s="14">
        <f>ROUND(K69*0.2,2)</f>
        <v>1298.5999999999999</v>
      </c>
      <c r="L70" s="17"/>
      <c r="M70" s="14"/>
      <c r="N70" s="17"/>
      <c r="O70" s="14"/>
      <c r="P70" s="17"/>
      <c r="Q70" s="14">
        <f>ROUND(Q69*0.2,2)</f>
        <v>1298.5999999999999</v>
      </c>
    </row>
    <row r="71" spans="1:17" ht="48.75" customHeight="1" x14ac:dyDescent="0.25">
      <c r="A71" s="16"/>
      <c r="B71" s="16"/>
      <c r="C71" s="61" t="s">
        <v>49</v>
      </c>
      <c r="D71" s="64"/>
      <c r="E71" s="62">
        <f>ROUND(E69*0.3,0)</f>
        <v>1558</v>
      </c>
      <c r="F71" s="16"/>
      <c r="G71" s="14">
        <f>ROUND(G69*0.3,0)</f>
        <v>1948</v>
      </c>
      <c r="H71" s="16"/>
      <c r="I71" s="14">
        <f>ROUND(I69*0.3,0)</f>
        <v>1948</v>
      </c>
      <c r="J71" s="16"/>
      <c r="K71" s="14">
        <f>ROUND(K69*0.3,0)</f>
        <v>1948</v>
      </c>
      <c r="L71" s="16"/>
      <c r="M71" s="14">
        <f>ROUND(M69*0.3,0)</f>
        <v>2337</v>
      </c>
      <c r="N71" s="16"/>
      <c r="O71" s="14">
        <f>ROUND(O69*0.3,0)</f>
        <v>1948</v>
      </c>
      <c r="P71" s="16"/>
      <c r="Q71" s="14">
        <f>ROUND(Q69*0.3,0)</f>
        <v>1948</v>
      </c>
    </row>
    <row r="72" spans="1:17" ht="60" x14ac:dyDescent="0.25">
      <c r="A72" s="16"/>
      <c r="B72" s="16"/>
      <c r="C72" s="61" t="s">
        <v>50</v>
      </c>
      <c r="D72" s="64"/>
      <c r="E72" s="62">
        <f t="shared" ref="E72" si="34">ROUND((E69)*0.05,2)</f>
        <v>259.7</v>
      </c>
      <c r="F72" s="14"/>
      <c r="G72" s="14">
        <f t="shared" ref="G72:Q72" si="35">ROUND((G69)*0.05,2)</f>
        <v>324.64999999999998</v>
      </c>
      <c r="H72" s="14"/>
      <c r="I72" s="14">
        <f t="shared" si="35"/>
        <v>324.64999999999998</v>
      </c>
      <c r="J72" s="14"/>
      <c r="K72" s="14">
        <f t="shared" si="35"/>
        <v>324.64999999999998</v>
      </c>
      <c r="L72" s="14"/>
      <c r="M72" s="14">
        <f t="shared" si="35"/>
        <v>389.55</v>
      </c>
      <c r="N72" s="14"/>
      <c r="O72" s="14">
        <f t="shared" si="35"/>
        <v>324.64999999999998</v>
      </c>
      <c r="P72" s="14"/>
      <c r="Q72" s="14">
        <f t="shared" si="35"/>
        <v>324.64999999999998</v>
      </c>
    </row>
    <row r="73" spans="1:17" ht="30.75" customHeight="1" x14ac:dyDescent="0.25">
      <c r="A73" s="16"/>
      <c r="B73" s="16"/>
      <c r="C73" s="61" t="s">
        <v>19</v>
      </c>
      <c r="D73" s="64"/>
      <c r="E73" s="62">
        <f t="shared" ref="E73" si="36">ROUND(E69*0.2,2)</f>
        <v>1038.8</v>
      </c>
      <c r="F73" s="14"/>
      <c r="G73" s="14">
        <f t="shared" ref="G73:Q73" si="37">ROUND(G69*0.2,2)</f>
        <v>1298.5999999999999</v>
      </c>
      <c r="H73" s="14"/>
      <c r="I73" s="14">
        <f t="shared" si="37"/>
        <v>1298.5999999999999</v>
      </c>
      <c r="J73" s="14"/>
      <c r="K73" s="14">
        <f t="shared" si="37"/>
        <v>1298.5999999999999</v>
      </c>
      <c r="L73" s="14"/>
      <c r="M73" s="14">
        <f t="shared" si="37"/>
        <v>1558.2</v>
      </c>
      <c r="N73" s="14"/>
      <c r="O73" s="14">
        <f t="shared" si="37"/>
        <v>1298.5999999999999</v>
      </c>
      <c r="P73" s="14"/>
      <c r="Q73" s="14">
        <f t="shared" si="37"/>
        <v>1298.5999999999999</v>
      </c>
    </row>
    <row r="74" spans="1:17" x14ac:dyDescent="0.25">
      <c r="A74" s="16"/>
      <c r="B74" s="16"/>
      <c r="C74" s="16" t="s">
        <v>38</v>
      </c>
      <c r="D74" s="17"/>
      <c r="E74" s="14">
        <f t="shared" ref="E74" si="38">ROUND((E69+E70+E71+E72+E73)*0.05,0)</f>
        <v>403</v>
      </c>
      <c r="F74" s="14"/>
      <c r="G74" s="14">
        <f t="shared" ref="G74:Q74" si="39">ROUND((G69+G70+G71+G72+G73)*0.05,0)</f>
        <v>503</v>
      </c>
      <c r="H74" s="14"/>
      <c r="I74" s="14">
        <f t="shared" si="39"/>
        <v>503</v>
      </c>
      <c r="J74" s="14"/>
      <c r="K74" s="14">
        <f t="shared" si="39"/>
        <v>568</v>
      </c>
      <c r="L74" s="14"/>
      <c r="M74" s="14">
        <f t="shared" si="39"/>
        <v>604</v>
      </c>
      <c r="N74" s="14"/>
      <c r="O74" s="14">
        <f t="shared" si="39"/>
        <v>503</v>
      </c>
      <c r="P74" s="14"/>
      <c r="Q74" s="14">
        <f t="shared" si="39"/>
        <v>568</v>
      </c>
    </row>
    <row r="75" spans="1:17" ht="30" x14ac:dyDescent="0.25">
      <c r="A75" s="16"/>
      <c r="B75" s="16"/>
      <c r="C75" s="61" t="s">
        <v>39</v>
      </c>
      <c r="D75" s="17"/>
      <c r="E75" s="14">
        <f t="shared" ref="E75" si="40">ROUND((E69+E70+E71+E72+E73)*0.01,2)</f>
        <v>80.510000000000005</v>
      </c>
      <c r="F75" s="14"/>
      <c r="G75" s="14">
        <f t="shared" ref="G75:Q75" si="41">ROUND((G69+G70+G71+G72+G73)*0.01,2)</f>
        <v>100.64</v>
      </c>
      <c r="H75" s="14"/>
      <c r="I75" s="14">
        <f t="shared" si="41"/>
        <v>100.64</v>
      </c>
      <c r="J75" s="14"/>
      <c r="K75" s="14">
        <f t="shared" si="41"/>
        <v>113.63</v>
      </c>
      <c r="L75" s="14"/>
      <c r="M75" s="14">
        <f t="shared" si="41"/>
        <v>120.76</v>
      </c>
      <c r="N75" s="14"/>
      <c r="O75" s="14">
        <f t="shared" si="41"/>
        <v>100.64</v>
      </c>
      <c r="P75" s="14"/>
      <c r="Q75" s="14">
        <f t="shared" si="41"/>
        <v>113.63</v>
      </c>
    </row>
    <row r="76" spans="1:17" x14ac:dyDescent="0.25">
      <c r="A76" s="16"/>
      <c r="B76" s="16"/>
      <c r="C76" s="16" t="s">
        <v>51</v>
      </c>
      <c r="D76" s="17"/>
      <c r="E76" s="14">
        <f t="shared" ref="E76" si="42">ROUND((9489-(E69+E70+E71+E72+E74+E73)/D69)*D69,2)</f>
        <v>1035.5</v>
      </c>
      <c r="F76" s="14"/>
      <c r="G76" s="14">
        <f>ROUND((11163-(G69+G70+G71+G72+G74+G73)/F69)*F69,2)</f>
        <v>3386.5</v>
      </c>
      <c r="H76" s="14"/>
      <c r="I76" s="14">
        <f t="shared" ref="I76:Q76" si="43">ROUND((11163-(I69+I70+I71+I72+I74+I73)/H69)*H69,2)</f>
        <v>3386.5</v>
      </c>
      <c r="J76" s="14"/>
      <c r="K76" s="14">
        <f t="shared" si="43"/>
        <v>2022.9</v>
      </c>
      <c r="L76" s="14"/>
      <c r="M76" s="14">
        <f t="shared" si="43"/>
        <v>4064.75</v>
      </c>
      <c r="N76" s="14"/>
      <c r="O76" s="14">
        <f t="shared" si="43"/>
        <v>3386.5</v>
      </c>
      <c r="P76" s="14"/>
      <c r="Q76" s="14">
        <f t="shared" si="43"/>
        <v>2022.9</v>
      </c>
    </row>
    <row r="77" spans="1:17" x14ac:dyDescent="0.25">
      <c r="A77" s="16"/>
      <c r="B77" s="16"/>
      <c r="C77" s="16" t="s">
        <v>18</v>
      </c>
      <c r="D77" s="17"/>
      <c r="E77" s="14">
        <f>ROUND(11163/29.3*28*D69/365*28,2)</f>
        <v>818.35</v>
      </c>
      <c r="F77" s="14"/>
      <c r="G77" s="14">
        <f>ROUND(11163/29.3*28*F69/365*28,2)</f>
        <v>1022.93</v>
      </c>
      <c r="H77" s="14"/>
      <c r="I77" s="14">
        <f t="shared" ref="I77:Q77" si="44">ROUND(11163/29.3*28*H69/365*28,2)</f>
        <v>1022.93</v>
      </c>
      <c r="J77" s="14"/>
      <c r="K77" s="14">
        <f t="shared" si="44"/>
        <v>1022.93</v>
      </c>
      <c r="L77" s="14"/>
      <c r="M77" s="14">
        <f t="shared" si="44"/>
        <v>1227.52</v>
      </c>
      <c r="N77" s="14"/>
      <c r="O77" s="14">
        <f t="shared" si="44"/>
        <v>1022.93</v>
      </c>
      <c r="P77" s="14"/>
      <c r="Q77" s="14">
        <f t="shared" si="44"/>
        <v>1022.93</v>
      </c>
    </row>
    <row r="78" spans="1:17" ht="30" x14ac:dyDescent="0.25">
      <c r="A78" s="16"/>
      <c r="B78" s="16"/>
      <c r="C78" s="61" t="s">
        <v>7</v>
      </c>
      <c r="D78" s="64"/>
      <c r="E78" s="62">
        <f t="shared" ref="E78" si="45">ROUND((E69+E70+E71+E72+E74+E75+E76+E77+E73)*0.302,0)</f>
        <v>3137</v>
      </c>
      <c r="F78" s="14"/>
      <c r="G78" s="14">
        <f t="shared" ref="G78:Q78" si="46">ROUND((G69+G70+G71+G72+G74+G75+G76+G77+G73)*0.302,0)</f>
        <v>4553</v>
      </c>
      <c r="H78" s="14"/>
      <c r="I78" s="14">
        <f t="shared" si="46"/>
        <v>4553</v>
      </c>
      <c r="J78" s="14"/>
      <c r="K78" s="14">
        <f t="shared" si="46"/>
        <v>4557</v>
      </c>
      <c r="L78" s="14"/>
      <c r="M78" s="14">
        <f t="shared" si="46"/>
        <v>5464</v>
      </c>
      <c r="N78" s="14"/>
      <c r="O78" s="14">
        <f t="shared" si="46"/>
        <v>4553</v>
      </c>
      <c r="P78" s="14"/>
      <c r="Q78" s="14">
        <f t="shared" si="46"/>
        <v>4557</v>
      </c>
    </row>
    <row r="79" spans="1:17" ht="30" x14ac:dyDescent="0.25">
      <c r="A79" s="16"/>
      <c r="B79" s="16"/>
      <c r="C79" s="61" t="s">
        <v>13</v>
      </c>
      <c r="D79" s="64"/>
      <c r="E79" s="62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</row>
    <row r="80" spans="1:17" x14ac:dyDescent="0.25">
      <c r="A80" s="16"/>
      <c r="B80" s="16"/>
      <c r="C80" s="63" t="s">
        <v>8</v>
      </c>
      <c r="D80" s="65"/>
      <c r="E80" s="62">
        <f>E69+E70+E71+E72+E74+E75+E78+E76+E77+E73</f>
        <v>13524.859999999999</v>
      </c>
      <c r="F80" s="14"/>
      <c r="G80" s="14">
        <f t="shared" ref="G80:Q80" si="47">G69+G70+G71+G72+G74+G75+G78+G76+G77+G73</f>
        <v>19630.32</v>
      </c>
      <c r="H80" s="14"/>
      <c r="I80" s="14">
        <f t="shared" si="47"/>
        <v>19630.32</v>
      </c>
      <c r="J80" s="14"/>
      <c r="K80" s="14">
        <f t="shared" si="47"/>
        <v>19647.309999999998</v>
      </c>
      <c r="L80" s="14"/>
      <c r="M80" s="14">
        <f t="shared" si="47"/>
        <v>23556.78</v>
      </c>
      <c r="N80" s="14"/>
      <c r="O80" s="14">
        <f t="shared" si="47"/>
        <v>19630.32</v>
      </c>
      <c r="P80" s="14"/>
      <c r="Q80" s="14">
        <f t="shared" si="47"/>
        <v>19647.309999999998</v>
      </c>
    </row>
    <row r="81" spans="1:17" x14ac:dyDescent="0.25">
      <c r="A81" s="16"/>
      <c r="B81" s="16"/>
      <c r="C81" s="63" t="s">
        <v>9</v>
      </c>
      <c r="D81" s="65"/>
      <c r="E81" s="62">
        <f>ROUND(E80*12,0)</f>
        <v>162298</v>
      </c>
      <c r="F81" s="16"/>
      <c r="G81" s="14">
        <f>ROUND(G80*12,0)</f>
        <v>235564</v>
      </c>
      <c r="H81" s="16"/>
      <c r="I81" s="14">
        <f>ROUND(I80*12,0)</f>
        <v>235564</v>
      </c>
      <c r="J81" s="16"/>
      <c r="K81" s="14">
        <f>ROUND(K80*12,0)</f>
        <v>235768</v>
      </c>
      <c r="L81" s="16"/>
      <c r="M81" s="14">
        <f>ROUND(M80*12,0)</f>
        <v>282681</v>
      </c>
      <c r="N81" s="16"/>
      <c r="O81" s="14">
        <f>ROUND(O80*12,0)</f>
        <v>235564</v>
      </c>
      <c r="P81" s="16"/>
      <c r="Q81" s="14">
        <f>ROUND(Q80*12,0)</f>
        <v>235768</v>
      </c>
    </row>
    <row r="82" spans="1:17" ht="45.75" customHeight="1" x14ac:dyDescent="0.25">
      <c r="A82" s="17">
        <v>7</v>
      </c>
      <c r="B82" s="61" t="s">
        <v>21</v>
      </c>
      <c r="C82" s="61" t="s">
        <v>22</v>
      </c>
      <c r="D82" s="64">
        <v>1</v>
      </c>
      <c r="E82" s="62">
        <f>ROUND(3880*D82,0)</f>
        <v>3880</v>
      </c>
      <c r="F82" s="17">
        <v>1</v>
      </c>
      <c r="G82" s="14">
        <f>ROUND(3880*F82,0)</f>
        <v>3880</v>
      </c>
      <c r="H82" s="17">
        <v>1</v>
      </c>
      <c r="I82" s="14">
        <f>ROUND(3880*H82,0)</f>
        <v>3880</v>
      </c>
      <c r="J82" s="17">
        <v>1</v>
      </c>
      <c r="K82" s="14">
        <f>ROUND(3880*J82,0)</f>
        <v>3880</v>
      </c>
      <c r="L82" s="17">
        <v>1</v>
      </c>
      <c r="M82" s="14">
        <f>ROUND(3880*L82,0)</f>
        <v>3880</v>
      </c>
      <c r="N82" s="17">
        <v>1</v>
      </c>
      <c r="O82" s="14">
        <f>ROUND(3880*N82,0)</f>
        <v>3880</v>
      </c>
      <c r="P82" s="17">
        <v>1</v>
      </c>
      <c r="Q82" s="14">
        <f>ROUND(3880*P82,0)</f>
        <v>3880</v>
      </c>
    </row>
    <row r="83" spans="1:17" ht="60" x14ac:dyDescent="0.25">
      <c r="A83" s="16"/>
      <c r="B83" s="16"/>
      <c r="C83" s="61" t="s">
        <v>52</v>
      </c>
      <c r="D83" s="61"/>
      <c r="E83" s="62">
        <f t="shared" ref="E83" si="48">ROUND((E82)*0.05,2)</f>
        <v>194</v>
      </c>
      <c r="F83" s="14"/>
      <c r="G83" s="14">
        <f t="shared" ref="G83:Q83" si="49">ROUND((G82)*0.05,2)</f>
        <v>194</v>
      </c>
      <c r="H83" s="14"/>
      <c r="I83" s="14">
        <f t="shared" si="49"/>
        <v>194</v>
      </c>
      <c r="J83" s="14"/>
      <c r="K83" s="14">
        <f t="shared" si="49"/>
        <v>194</v>
      </c>
      <c r="L83" s="14"/>
      <c r="M83" s="14">
        <f t="shared" si="49"/>
        <v>194</v>
      </c>
      <c r="N83" s="14"/>
      <c r="O83" s="14">
        <f t="shared" si="49"/>
        <v>194</v>
      </c>
      <c r="P83" s="14"/>
      <c r="Q83" s="14">
        <f t="shared" si="49"/>
        <v>194</v>
      </c>
    </row>
    <row r="84" spans="1:17" ht="30.75" customHeight="1" x14ac:dyDescent="0.25">
      <c r="A84" s="16"/>
      <c r="B84" s="16"/>
      <c r="C84" s="61" t="s">
        <v>35</v>
      </c>
      <c r="D84" s="61"/>
      <c r="E84" s="62">
        <f t="shared" ref="E84" si="50">ROUND(E82*0.2,2)</f>
        <v>776</v>
      </c>
      <c r="F84" s="14"/>
      <c r="G84" s="14">
        <f t="shared" ref="G84:Q84" si="51">ROUND(G82*0.2,2)</f>
        <v>776</v>
      </c>
      <c r="H84" s="14"/>
      <c r="I84" s="14">
        <f t="shared" si="51"/>
        <v>776</v>
      </c>
      <c r="J84" s="14"/>
      <c r="K84" s="14">
        <f t="shared" si="51"/>
        <v>776</v>
      </c>
      <c r="L84" s="14"/>
      <c r="M84" s="14">
        <f t="shared" si="51"/>
        <v>776</v>
      </c>
      <c r="N84" s="14"/>
      <c r="O84" s="14">
        <f t="shared" si="51"/>
        <v>776</v>
      </c>
      <c r="P84" s="14"/>
      <c r="Q84" s="14">
        <f t="shared" si="51"/>
        <v>776</v>
      </c>
    </row>
    <row r="85" spans="1:17" x14ac:dyDescent="0.25">
      <c r="A85" s="16"/>
      <c r="B85" s="16"/>
      <c r="C85" s="16" t="s">
        <v>38</v>
      </c>
      <c r="D85" s="16"/>
      <c r="E85" s="14">
        <f t="shared" ref="E85" si="52">ROUND((E82+E83+E84)*0.05,0)</f>
        <v>243</v>
      </c>
      <c r="F85" s="14"/>
      <c r="G85" s="14">
        <f t="shared" ref="G85:Q85" si="53">ROUND((G82+G83+G84)*0.05,0)</f>
        <v>243</v>
      </c>
      <c r="H85" s="14"/>
      <c r="I85" s="14">
        <f t="shared" si="53"/>
        <v>243</v>
      </c>
      <c r="J85" s="14"/>
      <c r="K85" s="14">
        <f t="shared" si="53"/>
        <v>243</v>
      </c>
      <c r="L85" s="14"/>
      <c r="M85" s="14">
        <f t="shared" si="53"/>
        <v>243</v>
      </c>
      <c r="N85" s="14"/>
      <c r="O85" s="14">
        <f t="shared" si="53"/>
        <v>243</v>
      </c>
      <c r="P85" s="14"/>
      <c r="Q85" s="14">
        <f t="shared" si="53"/>
        <v>243</v>
      </c>
    </row>
    <row r="86" spans="1:17" ht="30" x14ac:dyDescent="0.25">
      <c r="A86" s="16"/>
      <c r="B86" s="16"/>
      <c r="C86" s="61" t="s">
        <v>39</v>
      </c>
      <c r="D86" s="16"/>
      <c r="E86" s="14">
        <f t="shared" ref="E86" si="54">ROUND((E82+E83+E84)*0.01,2)</f>
        <v>48.5</v>
      </c>
      <c r="F86" s="14"/>
      <c r="G86" s="14">
        <f t="shared" ref="G86:Q86" si="55">ROUND((G82+G83+G84)*0.01,2)</f>
        <v>48.5</v>
      </c>
      <c r="H86" s="14"/>
      <c r="I86" s="14">
        <f t="shared" si="55"/>
        <v>48.5</v>
      </c>
      <c r="J86" s="14"/>
      <c r="K86" s="14">
        <f t="shared" si="55"/>
        <v>48.5</v>
      </c>
      <c r="L86" s="14"/>
      <c r="M86" s="14">
        <f t="shared" si="55"/>
        <v>48.5</v>
      </c>
      <c r="N86" s="14"/>
      <c r="O86" s="14">
        <f t="shared" si="55"/>
        <v>48.5</v>
      </c>
      <c r="P86" s="14"/>
      <c r="Q86" s="14">
        <f t="shared" si="55"/>
        <v>48.5</v>
      </c>
    </row>
    <row r="87" spans="1:17" x14ac:dyDescent="0.25">
      <c r="A87" s="16"/>
      <c r="B87" s="16"/>
      <c r="C87" s="16" t="s">
        <v>51</v>
      </c>
      <c r="D87" s="16"/>
      <c r="E87" s="14">
        <f t="shared" ref="E87" si="56">ROUND((9489-(E82+E83+E85+E84)/D82)*D82,2)</f>
        <v>4396</v>
      </c>
      <c r="F87" s="14"/>
      <c r="G87" s="14">
        <f>ROUND((11163-(G82+G83+G85+G84)/F82)*F82,2)</f>
        <v>6070</v>
      </c>
      <c r="H87" s="14"/>
      <c r="I87" s="14">
        <f t="shared" ref="I87:Q87" si="57">ROUND((11163-(I82+I83+I85+I84)/H82)*H82,2)</f>
        <v>6070</v>
      </c>
      <c r="J87" s="14"/>
      <c r="K87" s="14">
        <f t="shared" si="57"/>
        <v>6070</v>
      </c>
      <c r="L87" s="14"/>
      <c r="M87" s="14">
        <f t="shared" si="57"/>
        <v>6070</v>
      </c>
      <c r="N87" s="14"/>
      <c r="O87" s="14">
        <f t="shared" si="57"/>
        <v>6070</v>
      </c>
      <c r="P87" s="14"/>
      <c r="Q87" s="14">
        <f t="shared" si="57"/>
        <v>6070</v>
      </c>
    </row>
    <row r="88" spans="1:17" x14ac:dyDescent="0.25">
      <c r="A88" s="16"/>
      <c r="B88" s="16"/>
      <c r="C88" s="16" t="s">
        <v>18</v>
      </c>
      <c r="D88" s="16"/>
      <c r="E88" s="14">
        <f>ROUND(11163/29.3*28*D82/365*28,2)</f>
        <v>818.35</v>
      </c>
      <c r="F88" s="14"/>
      <c r="G88" s="14">
        <f>ROUND(11163/29.3*28*F82/365*28,2)</f>
        <v>818.35</v>
      </c>
      <c r="H88" s="14"/>
      <c r="I88" s="14">
        <f t="shared" ref="I88:Q88" si="58">ROUND(11163/29.3*28*H82/365*28,2)</f>
        <v>818.35</v>
      </c>
      <c r="J88" s="14"/>
      <c r="K88" s="14">
        <f t="shared" si="58"/>
        <v>818.35</v>
      </c>
      <c r="L88" s="14"/>
      <c r="M88" s="14">
        <f t="shared" si="58"/>
        <v>818.35</v>
      </c>
      <c r="N88" s="14"/>
      <c r="O88" s="14">
        <f t="shared" si="58"/>
        <v>818.35</v>
      </c>
      <c r="P88" s="14"/>
      <c r="Q88" s="14">
        <f t="shared" si="58"/>
        <v>818.35</v>
      </c>
    </row>
    <row r="89" spans="1:17" ht="30" x14ac:dyDescent="0.25">
      <c r="A89" s="16"/>
      <c r="B89" s="16"/>
      <c r="C89" s="61" t="s">
        <v>7</v>
      </c>
      <c r="D89" s="61"/>
      <c r="E89" s="62">
        <f t="shared" ref="E89" si="59">ROUND((E82+E83+E85+E86+E87+E88+E84)*0.302,0)</f>
        <v>3127</v>
      </c>
      <c r="F89" s="14"/>
      <c r="G89" s="14">
        <f>ROUND((G82+G83+G85+G86+G87+G88+G84)*0.302,0)</f>
        <v>3633</v>
      </c>
      <c r="H89" s="14"/>
      <c r="I89" s="14">
        <f>ROUND((I82+I83+I85+I86+I87+I88+I84)*0.302,0)</f>
        <v>3633</v>
      </c>
      <c r="J89" s="14"/>
      <c r="K89" s="14">
        <f>ROUND((K82+K83+K85+K86+K87+K88+K84)*0.302,0)</f>
        <v>3633</v>
      </c>
      <c r="L89" s="14"/>
      <c r="M89" s="14">
        <f>ROUND((M82+M83+M85+M86+M87+M88+M84)*0.302,0)</f>
        <v>3633</v>
      </c>
      <c r="N89" s="14"/>
      <c r="O89" s="14">
        <f>ROUND((O82+O83+O85+O86+O87+O88+O84)*0.302,0)</f>
        <v>3633</v>
      </c>
      <c r="P89" s="14"/>
      <c r="Q89" s="14">
        <f>ROUND((Q82+Q83+Q85+Q86+Q87+Q88+Q84)*0.302,0)</f>
        <v>3633</v>
      </c>
    </row>
    <row r="90" spans="1:17" ht="30" x14ac:dyDescent="0.25">
      <c r="A90" s="16"/>
      <c r="B90" s="16"/>
      <c r="C90" s="61" t="s">
        <v>23</v>
      </c>
      <c r="D90" s="61"/>
      <c r="E90" s="62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</row>
    <row r="91" spans="1:17" x14ac:dyDescent="0.25">
      <c r="A91" s="16"/>
      <c r="B91" s="16"/>
      <c r="C91" s="63" t="s">
        <v>8</v>
      </c>
      <c r="D91" s="63"/>
      <c r="E91" s="62">
        <f t="shared" ref="E91" si="60">E82+E83+E85+E86+E89+E87+E88+E84</f>
        <v>13482.85</v>
      </c>
      <c r="F91" s="14"/>
      <c r="G91" s="14">
        <f>G82+G83+G85+G86+G89+G87+G88+G84</f>
        <v>15662.85</v>
      </c>
      <c r="H91" s="14"/>
      <c r="I91" s="14">
        <f>I82+I83+I85+I86+I89+I87+I88+I84</f>
        <v>15662.85</v>
      </c>
      <c r="J91" s="14"/>
      <c r="K91" s="14">
        <f>K82+K83+K85+K86+K89+K87+K88+K84</f>
        <v>15662.85</v>
      </c>
      <c r="L91" s="14"/>
      <c r="M91" s="14">
        <f>M82+M83+M85+M86+M89+M87+M88+M84</f>
        <v>15662.85</v>
      </c>
      <c r="N91" s="14"/>
      <c r="O91" s="14">
        <f>O82+O83+O85+O86+O89+O87+O88+O84</f>
        <v>15662.85</v>
      </c>
      <c r="P91" s="14"/>
      <c r="Q91" s="14">
        <f>Q82+Q83+Q85+Q86+Q89+Q87+Q88+Q84</f>
        <v>15662.85</v>
      </c>
    </row>
    <row r="92" spans="1:17" x14ac:dyDescent="0.25">
      <c r="A92" s="16"/>
      <c r="B92" s="16"/>
      <c r="C92" s="63" t="s">
        <v>9</v>
      </c>
      <c r="D92" s="63"/>
      <c r="E92" s="62">
        <f t="shared" ref="E92" si="61">ROUND(E91*12,0)</f>
        <v>161794</v>
      </c>
      <c r="F92" s="14"/>
      <c r="G92" s="14">
        <f t="shared" ref="G92:Q92" si="62">ROUND(G91*12,0)</f>
        <v>187954</v>
      </c>
      <c r="H92" s="14"/>
      <c r="I92" s="14">
        <f t="shared" si="62"/>
        <v>187954</v>
      </c>
      <c r="J92" s="14"/>
      <c r="K92" s="14">
        <f t="shared" si="62"/>
        <v>187954</v>
      </c>
      <c r="L92" s="14"/>
      <c r="M92" s="14">
        <f t="shared" si="62"/>
        <v>187954</v>
      </c>
      <c r="N92" s="14"/>
      <c r="O92" s="14">
        <f t="shared" si="62"/>
        <v>187954</v>
      </c>
      <c r="P92" s="14"/>
      <c r="Q92" s="14">
        <f t="shared" si="62"/>
        <v>187954</v>
      </c>
    </row>
    <row r="93" spans="1:17" ht="19.5" customHeight="1" x14ac:dyDescent="0.25">
      <c r="A93" s="16"/>
      <c r="B93" s="66" t="s">
        <v>15</v>
      </c>
      <c r="C93" s="67"/>
      <c r="D93" s="68"/>
      <c r="E93" s="69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</row>
    <row r="94" spans="1:17" ht="48.75" customHeight="1" x14ac:dyDescent="0.25">
      <c r="A94" s="16"/>
      <c r="B94" s="61"/>
      <c r="C94" s="61" t="s">
        <v>53</v>
      </c>
      <c r="D94" s="61"/>
      <c r="E94" s="14">
        <f>ROUND((E19+E32+E44+E56+E68+E81+E92)*0.192,2)</f>
        <v>174950.18</v>
      </c>
      <c r="F94" s="14"/>
      <c r="G94" s="14">
        <f>ROUND((G19+G32+G44+G56+G68+G81+G92)*0.192,2)</f>
        <v>196772.19</v>
      </c>
      <c r="H94" s="14"/>
      <c r="I94" s="14">
        <f>ROUND((I19+I32+I44+I56+I68+I81+I92)*0.192,2)</f>
        <v>203765.43</v>
      </c>
      <c r="J94" s="14"/>
      <c r="K94" s="14">
        <f>ROUND((K19+K32+K44+K56+K68+K81+K92)*0.192,2)</f>
        <v>334282.86</v>
      </c>
      <c r="L94" s="14"/>
      <c r="M94" s="14">
        <f>ROUND((M19+M32+M44+M56+M68+M81+M92)*0.192,2)</f>
        <v>248193.94</v>
      </c>
      <c r="N94" s="14"/>
      <c r="O94" s="14">
        <f>ROUND((O19+O32+O44+O56+O68+O81+O92)*0.192,2)</f>
        <v>246140.71</v>
      </c>
      <c r="P94" s="14"/>
      <c r="Q94" s="14">
        <f>ROUND((Q19+Q32+Q44+Q56+Q68+Q81+Q92)*0.192,2)</f>
        <v>364786.94</v>
      </c>
    </row>
    <row r="95" spans="1:17" ht="64.5" customHeight="1" x14ac:dyDescent="0.25">
      <c r="A95" s="16"/>
      <c r="B95" s="70" t="s">
        <v>17</v>
      </c>
      <c r="C95" s="71"/>
      <c r="D95" s="72"/>
      <c r="E95" s="73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</row>
    <row r="96" spans="1:17" ht="45.75" customHeight="1" x14ac:dyDescent="0.25">
      <c r="A96" s="16"/>
      <c r="B96" s="61"/>
      <c r="C96" s="61" t="s">
        <v>54</v>
      </c>
      <c r="D96" s="61"/>
      <c r="E96" s="14">
        <f>ROUND((E19+E32+E44+E56+E68+E81+E92)*0.028,2)</f>
        <v>25513.57</v>
      </c>
      <c r="F96" s="14"/>
      <c r="G96" s="14">
        <f>ROUND((G19+G32+G44+G56+G68+G81+G92)*0.028,2)</f>
        <v>28695.94</v>
      </c>
      <c r="H96" s="14"/>
      <c r="I96" s="14">
        <f>ROUND((I19+I32+I44+I56+I68+I81+I92)*0.028,2)</f>
        <v>29715.79</v>
      </c>
      <c r="J96" s="14"/>
      <c r="K96" s="14">
        <f>ROUND((K19+K32+K44+K56+K68+K81+K92)*0.028,2)</f>
        <v>48749.58</v>
      </c>
      <c r="L96" s="14"/>
      <c r="M96" s="14">
        <f>ROUND((M19+M32+M44+M56+M68+M81+M92)*0.028,2)</f>
        <v>36194.949999999997</v>
      </c>
      <c r="N96" s="14"/>
      <c r="O96" s="14">
        <f>ROUND((O19+O32+O44+O56+O68+O81+O92)*0.028,2)</f>
        <v>35895.519999999997</v>
      </c>
      <c r="P96" s="14"/>
      <c r="Q96" s="14">
        <f>ROUND((Q19+Q32+Q44+Q56+Q68+Q81+Q92)*0.028,2)</f>
        <v>53198.1</v>
      </c>
    </row>
    <row r="97" spans="1:19" ht="66.75" customHeight="1" x14ac:dyDescent="0.25">
      <c r="A97" s="16"/>
      <c r="B97" s="70" t="s">
        <v>20</v>
      </c>
      <c r="C97" s="71"/>
      <c r="D97" s="72"/>
      <c r="E97" s="74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</row>
    <row r="98" spans="1:19" ht="54.75" customHeight="1" x14ac:dyDescent="0.25">
      <c r="A98" s="16"/>
      <c r="B98" s="61"/>
      <c r="C98" s="61" t="s">
        <v>55</v>
      </c>
      <c r="D98" s="61"/>
      <c r="E98" s="14">
        <f>ROUND((E19+E32+E44+E56+E68+E81+E92)*0.05,2)</f>
        <v>45559.94</v>
      </c>
      <c r="F98" s="14"/>
      <c r="G98" s="14">
        <f>ROUND((G19+G32+G44+G56+G68+G81+G92)*0.05,2)</f>
        <v>51242.76</v>
      </c>
      <c r="H98" s="14"/>
      <c r="I98" s="14">
        <f>ROUND((I19+I32+I44+I56+I68+I81+I92)*0.05,2)</f>
        <v>53063.91</v>
      </c>
      <c r="J98" s="14"/>
      <c r="K98" s="14">
        <f>ROUND((K19+K32+K44+K56+K68+K81+K92)*0.05,2)</f>
        <v>87052.83</v>
      </c>
      <c r="L98" s="14"/>
      <c r="M98" s="14">
        <f>ROUND((M19+M32+M44+M56+M68+M81+M92)*0.05,2)</f>
        <v>64633.84</v>
      </c>
      <c r="N98" s="14"/>
      <c r="O98" s="14">
        <f>ROUND((O19+O32+O44+O56+O68+O81+O92)*0.05,2)</f>
        <v>64099.14</v>
      </c>
      <c r="P98" s="14"/>
      <c r="Q98" s="14">
        <f>ROUND((Q19+Q32+Q44+Q56+Q68+Q81+Q92)*0.05,2)</f>
        <v>94996.6</v>
      </c>
    </row>
    <row r="99" spans="1:19" ht="68.25" customHeight="1" x14ac:dyDescent="0.25">
      <c r="A99" s="16"/>
      <c r="B99" s="70" t="s">
        <v>16</v>
      </c>
      <c r="C99" s="71"/>
      <c r="D99" s="72"/>
      <c r="E99" s="75">
        <f>E19+E32+E44+E56+E68+E81+E92+E94+E96+E98</f>
        <v>1157222.53</v>
      </c>
      <c r="F99" s="75"/>
      <c r="G99" s="75">
        <f>G19+G32+G44+G56+G68+G81+G92+G94+G96+G98</f>
        <v>1301566.05</v>
      </c>
      <c r="H99" s="75"/>
      <c r="I99" s="75">
        <f>I19+I32+I44+I56+I68+I81+I92+I94+I96+I98</f>
        <v>1347823.41</v>
      </c>
      <c r="J99" s="75"/>
      <c r="K99" s="75">
        <f>K19+K32+K44+K56+K68+K81+K92+K94+K96+K98</f>
        <v>2211141.83</v>
      </c>
      <c r="L99" s="75"/>
      <c r="M99" s="75">
        <f>M19+M32+M44+M56+M68+M81+M92+M94+M96+M98</f>
        <v>1641699.49</v>
      </c>
      <c r="N99" s="75"/>
      <c r="O99" s="75">
        <f>O19+O32+O44+O56+O68+O81+O92+O94+O96+O98</f>
        <v>1628118.2499999998</v>
      </c>
      <c r="P99" s="75"/>
      <c r="Q99" s="75">
        <f>Q19+Q32+Q44+Q56+Q68+Q81+Q92+Q94+Q96+Q98</f>
        <v>2412913.64</v>
      </c>
    </row>
    <row r="100" spans="1:19" ht="22.5" customHeight="1" x14ac:dyDescent="0.25">
      <c r="A100" s="16"/>
      <c r="B100" s="76"/>
      <c r="C100" s="77"/>
      <c r="D100" s="72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6"/>
      <c r="Q100" s="14"/>
    </row>
    <row r="101" spans="1:19" ht="47.25" customHeight="1" x14ac:dyDescent="0.25">
      <c r="A101" s="16"/>
      <c r="B101" s="70" t="s">
        <v>61</v>
      </c>
      <c r="C101" s="71"/>
      <c r="D101" s="78">
        <v>25</v>
      </c>
      <c r="E101" s="15">
        <f>ROUND(E99/D101,0)</f>
        <v>46289</v>
      </c>
      <c r="F101" s="24">
        <v>20</v>
      </c>
      <c r="G101" s="15">
        <f>ROUND(G99/F101,0)</f>
        <v>65078</v>
      </c>
      <c r="H101" s="24">
        <v>25</v>
      </c>
      <c r="I101" s="15">
        <f>ROUND(I99/H101,0)</f>
        <v>53913</v>
      </c>
      <c r="J101" s="24">
        <v>15</v>
      </c>
      <c r="K101" s="15">
        <f>ROUND(K99/J101,0)</f>
        <v>147409</v>
      </c>
      <c r="L101" s="24">
        <v>20</v>
      </c>
      <c r="M101" s="15">
        <f>ROUND(M99/L101,0)</f>
        <v>82085</v>
      </c>
      <c r="N101" s="24">
        <v>25</v>
      </c>
      <c r="O101" s="15">
        <f>ROUND(O99/N101,0)</f>
        <v>65125</v>
      </c>
      <c r="P101" s="24">
        <v>15</v>
      </c>
      <c r="Q101" s="15">
        <f>ROUND(Q99/P101,0)</f>
        <v>160861</v>
      </c>
      <c r="R101" s="25"/>
      <c r="S101" s="79"/>
    </row>
    <row r="102" spans="1:19" ht="46.5" customHeight="1" x14ac:dyDescent="0.25">
      <c r="A102" s="16"/>
      <c r="B102" s="70" t="s">
        <v>62</v>
      </c>
      <c r="C102" s="71"/>
      <c r="D102" s="16"/>
      <c r="E102" s="15">
        <v>46289</v>
      </c>
      <c r="F102" s="15"/>
      <c r="G102" s="15">
        <v>46289</v>
      </c>
      <c r="H102" s="15"/>
      <c r="I102" s="15">
        <v>46289</v>
      </c>
      <c r="J102" s="15"/>
      <c r="K102" s="15">
        <v>46289</v>
      </c>
      <c r="L102" s="15"/>
      <c r="M102" s="15">
        <v>46289</v>
      </c>
      <c r="N102" s="15"/>
      <c r="O102" s="15">
        <v>46289</v>
      </c>
      <c r="P102" s="15"/>
      <c r="Q102" s="15">
        <v>46289</v>
      </c>
    </row>
    <row r="103" spans="1:19" ht="77.25" customHeight="1" x14ac:dyDescent="0.25">
      <c r="A103" s="16"/>
      <c r="B103" s="34" t="s">
        <v>63</v>
      </c>
      <c r="C103" s="35"/>
      <c r="D103" s="31"/>
      <c r="E103" s="20">
        <f>ROUND(E101/E102,3)</f>
        <v>1</v>
      </c>
      <c r="F103" s="17"/>
      <c r="G103" s="17">
        <f t="shared" ref="G103:Q103" si="63">ROUND(G101/G102,3)</f>
        <v>1.4059999999999999</v>
      </c>
      <c r="H103" s="17"/>
      <c r="I103" s="17">
        <f t="shared" si="63"/>
        <v>1.165</v>
      </c>
      <c r="J103" s="17"/>
      <c r="K103" s="17">
        <f t="shared" si="63"/>
        <v>3.1850000000000001</v>
      </c>
      <c r="L103" s="17"/>
      <c r="M103" s="17">
        <f t="shared" si="63"/>
        <v>1.7729999999999999</v>
      </c>
      <c r="N103" s="17"/>
      <c r="O103" s="17">
        <f t="shared" si="63"/>
        <v>1.407</v>
      </c>
      <c r="P103" s="17"/>
      <c r="Q103" s="17">
        <f t="shared" si="63"/>
        <v>3.4750000000000001</v>
      </c>
    </row>
  </sheetData>
  <mergeCells count="21">
    <mergeCell ref="J4:K4"/>
    <mergeCell ref="L4:M4"/>
    <mergeCell ref="D4:E4"/>
    <mergeCell ref="D3:Q3"/>
    <mergeCell ref="A3:A5"/>
    <mergeCell ref="B102:C102"/>
    <mergeCell ref="B103:C103"/>
    <mergeCell ref="A2:Q2"/>
    <mergeCell ref="O1:Q1"/>
    <mergeCell ref="B100:C100"/>
    <mergeCell ref="B101:C101"/>
    <mergeCell ref="N4:O4"/>
    <mergeCell ref="P4:Q4"/>
    <mergeCell ref="B93:C93"/>
    <mergeCell ref="B95:C95"/>
    <mergeCell ref="B97:C97"/>
    <mergeCell ref="B99:C99"/>
    <mergeCell ref="C3:C5"/>
    <mergeCell ref="B3:B5"/>
    <mergeCell ref="F4:G4"/>
    <mergeCell ref="H4:I4"/>
  </mergeCells>
  <printOptions horizontalCentered="1"/>
  <pageMargins left="0" right="0" top="0.74803149606299213" bottom="0.74803149606299213" header="0" footer="0"/>
  <pageSetup paperSize="9" scale="44" orientation="landscape" r:id="rId1"/>
  <rowBreaks count="2" manualBreakCount="2">
    <brk id="24" max="16" man="1"/>
    <brk id="99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Село</vt:lpstr>
      <vt:lpstr>Город</vt:lpstr>
      <vt:lpstr>Город!Заголовки_для_печати</vt:lpstr>
      <vt:lpstr>Село!Заголовки_для_печати</vt:lpstr>
      <vt:lpstr>Город!Область_печати</vt:lpstr>
      <vt:lpstr>Село!Область_печати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2018-05-14T13:05:16Z</dcterms:modified>
</cp:coreProperties>
</file>