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5"/>
  </bookViews>
  <sheets>
    <sheet name="Село-2019" sheetId="7" r:id="rId1"/>
    <sheet name="Город-2019" sheetId="9" r:id="rId2"/>
    <sheet name="Город-2020" sheetId="10" r:id="rId3"/>
    <sheet name="Село-2020" sheetId="11" r:id="rId4"/>
    <sheet name="Город-2021" sheetId="12" r:id="rId5"/>
    <sheet name="Село-2021" sheetId="13" r:id="rId6"/>
  </sheets>
  <definedNames>
    <definedName name="_xlnm.Print_Titles" localSheetId="1">'Город-2019'!$A:$C,'Город-2019'!$3:$5</definedName>
    <definedName name="_xlnm.Print_Titles" localSheetId="2">'Город-2020'!$A:$C,'Город-2020'!$2:$4</definedName>
    <definedName name="_xlnm.Print_Titles" localSheetId="4">'Город-2021'!$A:$C,'Город-2021'!$2:$4</definedName>
    <definedName name="_xlnm.Print_Titles" localSheetId="0">'Село-2019'!$A:$C,'Село-2019'!$2:$4</definedName>
    <definedName name="_xlnm.Print_Titles" localSheetId="3">'Село-2020'!$A:$C,'Село-2020'!$2:$4</definedName>
    <definedName name="_xlnm.Print_Titles" localSheetId="5">'Село-2021'!$A:$C,'Село-2021'!$2:$4</definedName>
    <definedName name="_xlnm.Print_Area" localSheetId="1">'Город-2019'!$A$1:$Q$107</definedName>
    <definedName name="_xlnm.Print_Area" localSheetId="2">'Город-2020'!$A$1:$Q$106</definedName>
    <definedName name="_xlnm.Print_Area" localSheetId="4">'Город-2021'!$A$1:$Q$106</definedName>
    <definedName name="_xlnm.Print_Area" localSheetId="0">'Село-2019'!$A$1:$Q$111</definedName>
    <definedName name="_xlnm.Print_Area" localSheetId="3">'Село-2020'!$A$1:$Q$111</definedName>
    <definedName name="_xlnm.Print_Area" localSheetId="5">'Село-2021'!$A$1:$Q$111</definedName>
  </definedNames>
  <calcPr calcId="145621"/>
</workbook>
</file>

<file path=xl/calcChain.xml><?xml version="1.0" encoding="utf-8"?>
<calcChain xmlns="http://schemas.openxmlformats.org/spreadsheetml/2006/main">
  <c r="Q90" i="13" l="1"/>
  <c r="O90" i="13"/>
  <c r="M90" i="13"/>
  <c r="K90" i="13"/>
  <c r="I90" i="13"/>
  <c r="G90" i="13"/>
  <c r="E90" i="13"/>
  <c r="Q77" i="13"/>
  <c r="O77" i="13"/>
  <c r="M77" i="13"/>
  <c r="K77" i="13"/>
  <c r="I77" i="13"/>
  <c r="G77" i="13"/>
  <c r="E77" i="13"/>
  <c r="Q63" i="13"/>
  <c r="O63" i="13"/>
  <c r="M63" i="13"/>
  <c r="K63" i="13"/>
  <c r="I63" i="13"/>
  <c r="G63" i="13"/>
  <c r="E63" i="13"/>
  <c r="Q49" i="13"/>
  <c r="K49" i="13"/>
  <c r="Q35" i="13"/>
  <c r="O35" i="13"/>
  <c r="M35" i="13"/>
  <c r="K35" i="13"/>
  <c r="I35" i="13"/>
  <c r="G35" i="13"/>
  <c r="E35" i="13"/>
  <c r="Q21" i="13"/>
  <c r="O21" i="13"/>
  <c r="M21" i="13"/>
  <c r="K21" i="13"/>
  <c r="I21" i="13"/>
  <c r="G21" i="13"/>
  <c r="E21" i="13"/>
  <c r="Q5" i="13"/>
  <c r="Q6" i="13" s="1"/>
  <c r="Q7" i="13" s="1"/>
  <c r="O5" i="13"/>
  <c r="M5" i="13"/>
  <c r="K5" i="13"/>
  <c r="I5" i="13"/>
  <c r="G5" i="13"/>
  <c r="E5" i="13"/>
  <c r="Q96" i="13"/>
  <c r="O96" i="13"/>
  <c r="M96" i="13"/>
  <c r="K96" i="13"/>
  <c r="I96" i="13"/>
  <c r="G96" i="13"/>
  <c r="E96" i="13"/>
  <c r="Q85" i="13"/>
  <c r="O85" i="13"/>
  <c r="M85" i="13"/>
  <c r="K85" i="13"/>
  <c r="I85" i="13"/>
  <c r="G85" i="13"/>
  <c r="E85" i="13"/>
  <c r="O36" i="13"/>
  <c r="K39" i="13"/>
  <c r="G39" i="13"/>
  <c r="Q15" i="13"/>
  <c r="O15" i="13"/>
  <c r="M15" i="13"/>
  <c r="K15" i="13"/>
  <c r="I15" i="13"/>
  <c r="G15" i="13"/>
  <c r="E15" i="13"/>
  <c r="M6" i="13"/>
  <c r="I6" i="13"/>
  <c r="E6" i="13"/>
  <c r="Q85" i="12"/>
  <c r="O85" i="12"/>
  <c r="M85" i="12"/>
  <c r="K85" i="12"/>
  <c r="I85" i="12"/>
  <c r="G85" i="12"/>
  <c r="E85" i="12"/>
  <c r="Q72" i="12"/>
  <c r="O72" i="12"/>
  <c r="M72" i="12"/>
  <c r="K72" i="12"/>
  <c r="I72" i="12"/>
  <c r="G72" i="12"/>
  <c r="E72" i="12"/>
  <c r="E74" i="12" s="1"/>
  <c r="Q59" i="12"/>
  <c r="O59" i="12"/>
  <c r="M59" i="12"/>
  <c r="K59" i="12"/>
  <c r="I59" i="12"/>
  <c r="G59" i="12"/>
  <c r="E59" i="12"/>
  <c r="Q46" i="12"/>
  <c r="K46" i="12"/>
  <c r="Q33" i="12"/>
  <c r="O33" i="12"/>
  <c r="M33" i="12"/>
  <c r="K33" i="12"/>
  <c r="I33" i="12"/>
  <c r="G33" i="12"/>
  <c r="E33" i="12"/>
  <c r="E39" i="12" s="1"/>
  <c r="Q20" i="12"/>
  <c r="O20" i="12"/>
  <c r="M20" i="12"/>
  <c r="K20" i="12"/>
  <c r="I20" i="12"/>
  <c r="G20" i="12"/>
  <c r="E20" i="12"/>
  <c r="Q5" i="12"/>
  <c r="O5" i="12"/>
  <c r="M5" i="12"/>
  <c r="K5" i="12"/>
  <c r="I5" i="12"/>
  <c r="G5" i="12"/>
  <c r="E5" i="12"/>
  <c r="Q91" i="12"/>
  <c r="O91" i="12"/>
  <c r="M91" i="12"/>
  <c r="K91" i="12"/>
  <c r="I91" i="12"/>
  <c r="G91" i="12"/>
  <c r="E91" i="12"/>
  <c r="Q80" i="12"/>
  <c r="O80" i="12"/>
  <c r="M80" i="12"/>
  <c r="K80" i="12"/>
  <c r="I80" i="12"/>
  <c r="G80" i="12"/>
  <c r="E80" i="12"/>
  <c r="Q74" i="12"/>
  <c r="M74" i="12"/>
  <c r="I74" i="12"/>
  <c r="O60" i="12"/>
  <c r="K60" i="12"/>
  <c r="G60" i="12"/>
  <c r="Q39" i="12"/>
  <c r="M39" i="12"/>
  <c r="I39" i="12"/>
  <c r="Q34" i="12"/>
  <c r="Q37" i="12" s="1"/>
  <c r="M34" i="12"/>
  <c r="M37" i="12" s="1"/>
  <c r="I34" i="12"/>
  <c r="I37" i="12" s="1"/>
  <c r="E34" i="12"/>
  <c r="E37" i="12" s="1"/>
  <c r="O26" i="12"/>
  <c r="K26" i="12"/>
  <c r="G26" i="12"/>
  <c r="O21" i="12"/>
  <c r="K21" i="12"/>
  <c r="G21" i="12"/>
  <c r="Q14" i="12"/>
  <c r="O14" i="12"/>
  <c r="M14" i="12"/>
  <c r="K14" i="12"/>
  <c r="I14" i="12"/>
  <c r="G14" i="12"/>
  <c r="E14" i="12"/>
  <c r="O6" i="12"/>
  <c r="O9" i="12" s="1"/>
  <c r="K6" i="12"/>
  <c r="K7" i="12" s="1"/>
  <c r="G6" i="12"/>
  <c r="E9" i="13" l="1"/>
  <c r="I9" i="13"/>
  <c r="M9" i="13"/>
  <c r="Q9" i="13"/>
  <c r="E11" i="13"/>
  <c r="I11" i="13"/>
  <c r="M11" i="13"/>
  <c r="Q11" i="13"/>
  <c r="G12" i="13"/>
  <c r="K12" i="13"/>
  <c r="O12" i="13"/>
  <c r="G22" i="13"/>
  <c r="K22" i="13"/>
  <c r="O22" i="13"/>
  <c r="K23" i="13"/>
  <c r="G25" i="13"/>
  <c r="K25" i="13"/>
  <c r="O25" i="13"/>
  <c r="G27" i="13"/>
  <c r="K27" i="13"/>
  <c r="O27" i="13"/>
  <c r="E28" i="13"/>
  <c r="I28" i="13"/>
  <c r="M28" i="13"/>
  <c r="Q28" i="13"/>
  <c r="E41" i="13"/>
  <c r="E42" i="13"/>
  <c r="I41" i="13"/>
  <c r="I42" i="13"/>
  <c r="M41" i="13"/>
  <c r="M39" i="13"/>
  <c r="M42" i="13"/>
  <c r="Q41" i="13"/>
  <c r="Q39" i="13"/>
  <c r="Q42" i="13"/>
  <c r="G36" i="13"/>
  <c r="K36" i="13"/>
  <c r="K37" i="13" s="1"/>
  <c r="K43" i="13" s="1"/>
  <c r="G6" i="13"/>
  <c r="G8" i="13" s="1"/>
  <c r="K6" i="13"/>
  <c r="O6" i="13"/>
  <c r="O8" i="13" s="1"/>
  <c r="K7" i="13"/>
  <c r="E8" i="13"/>
  <c r="I8" i="13"/>
  <c r="M8" i="13"/>
  <c r="Q8" i="13"/>
  <c r="G9" i="13"/>
  <c r="K9" i="13"/>
  <c r="O9" i="13"/>
  <c r="E10" i="13"/>
  <c r="I10" i="13"/>
  <c r="M10" i="13"/>
  <c r="Q10" i="13"/>
  <c r="G11" i="13"/>
  <c r="K11" i="13"/>
  <c r="O11" i="13"/>
  <c r="E12" i="13"/>
  <c r="E14" i="13" s="1"/>
  <c r="I12" i="13"/>
  <c r="M12" i="13"/>
  <c r="M14" i="13" s="1"/>
  <c r="Q12" i="13"/>
  <c r="I14" i="13"/>
  <c r="Q14" i="13"/>
  <c r="E22" i="13"/>
  <c r="I22" i="13"/>
  <c r="I24" i="13" s="1"/>
  <c r="M22" i="13"/>
  <c r="Q22" i="13"/>
  <c r="Q24" i="13" s="1"/>
  <c r="G24" i="13"/>
  <c r="K24" i="13"/>
  <c r="O24" i="13"/>
  <c r="E25" i="13"/>
  <c r="I25" i="13"/>
  <c r="M25" i="13"/>
  <c r="Q25" i="13"/>
  <c r="G26" i="13"/>
  <c r="K26" i="13"/>
  <c r="O26" i="13"/>
  <c r="E27" i="13"/>
  <c r="I27" i="13"/>
  <c r="M27" i="13"/>
  <c r="Q27" i="13"/>
  <c r="G28" i="13"/>
  <c r="G30" i="13" s="1"/>
  <c r="K28" i="13"/>
  <c r="O28" i="13"/>
  <c r="O30" i="13" s="1"/>
  <c r="K30" i="13"/>
  <c r="G42" i="13"/>
  <c r="G40" i="13"/>
  <c r="G41" i="13"/>
  <c r="K42" i="13"/>
  <c r="K40" i="13"/>
  <c r="K41" i="13"/>
  <c r="O42" i="13"/>
  <c r="O40" i="13"/>
  <c r="O41" i="13"/>
  <c r="E36" i="13"/>
  <c r="I36" i="13"/>
  <c r="M36" i="13"/>
  <c r="Q36" i="13"/>
  <c r="G38" i="13"/>
  <c r="K38" i="13"/>
  <c r="O38" i="13"/>
  <c r="E39" i="13"/>
  <c r="I39" i="13"/>
  <c r="O39" i="13"/>
  <c r="K50" i="13"/>
  <c r="K51" i="13" s="1"/>
  <c r="K57" i="13" s="1"/>
  <c r="K52" i="13"/>
  <c r="K53" i="13"/>
  <c r="K54" i="13"/>
  <c r="K55" i="13"/>
  <c r="K56" i="13"/>
  <c r="G64" i="13"/>
  <c r="K64" i="13"/>
  <c r="O64" i="13"/>
  <c r="K65" i="13"/>
  <c r="G67" i="13"/>
  <c r="K67" i="13"/>
  <c r="O67" i="13"/>
  <c r="G69" i="13"/>
  <c r="K69" i="13"/>
  <c r="O69" i="13"/>
  <c r="E70" i="13"/>
  <c r="I70" i="13"/>
  <c r="M70" i="13"/>
  <c r="Q70" i="13"/>
  <c r="Q50" i="13"/>
  <c r="Q51" i="13" s="1"/>
  <c r="Q52" i="13"/>
  <c r="Q53" i="13"/>
  <c r="Q54" i="13"/>
  <c r="Q55" i="13"/>
  <c r="Q56" i="13"/>
  <c r="E64" i="13"/>
  <c r="E68" i="13" s="1"/>
  <c r="I64" i="13"/>
  <c r="M64" i="13"/>
  <c r="M68" i="13" s="1"/>
  <c r="Q64" i="13"/>
  <c r="G66" i="13"/>
  <c r="K66" i="13"/>
  <c r="O66" i="13"/>
  <c r="E67" i="13"/>
  <c r="I67" i="13"/>
  <c r="M67" i="13"/>
  <c r="Q67" i="13"/>
  <c r="G68" i="13"/>
  <c r="K68" i="13"/>
  <c r="O68" i="13"/>
  <c r="E69" i="13"/>
  <c r="I69" i="13"/>
  <c r="M69" i="13"/>
  <c r="Q69" i="13"/>
  <c r="G70" i="13"/>
  <c r="K70" i="13"/>
  <c r="O70" i="13"/>
  <c r="K72" i="13"/>
  <c r="K78" i="13"/>
  <c r="E79" i="13"/>
  <c r="I79" i="13"/>
  <c r="M79" i="13"/>
  <c r="Q79" i="13"/>
  <c r="G80" i="13"/>
  <c r="K80" i="13"/>
  <c r="O80" i="13"/>
  <c r="E81" i="13"/>
  <c r="I81" i="13"/>
  <c r="M81" i="13"/>
  <c r="Q81" i="13"/>
  <c r="G91" i="13"/>
  <c r="K91" i="13"/>
  <c r="O91" i="13"/>
  <c r="E92" i="13"/>
  <c r="I92" i="13"/>
  <c r="M92" i="13"/>
  <c r="Q92" i="13"/>
  <c r="Q78" i="13"/>
  <c r="G79" i="13"/>
  <c r="K79" i="13"/>
  <c r="O79" i="13"/>
  <c r="E80" i="13"/>
  <c r="E83" i="13" s="1"/>
  <c r="I80" i="13"/>
  <c r="I83" i="13" s="1"/>
  <c r="M80" i="13"/>
  <c r="M83" i="13" s="1"/>
  <c r="Q80" i="13"/>
  <c r="Q83" i="13" s="1"/>
  <c r="G81" i="13"/>
  <c r="K81" i="13"/>
  <c r="K83" i="13" s="1"/>
  <c r="O81" i="13"/>
  <c r="M82" i="13"/>
  <c r="M84" i="13" s="1"/>
  <c r="G83" i="13"/>
  <c r="O83" i="13"/>
  <c r="E91" i="13"/>
  <c r="E93" i="13" s="1"/>
  <c r="E95" i="13" s="1"/>
  <c r="I91" i="13"/>
  <c r="M91" i="13"/>
  <c r="M93" i="13" s="1"/>
  <c r="M95" i="13" s="1"/>
  <c r="Q91" i="13"/>
  <c r="G92" i="13"/>
  <c r="G93" i="13" s="1"/>
  <c r="K92" i="13"/>
  <c r="K94" i="13" s="1"/>
  <c r="O92" i="13"/>
  <c r="O93" i="13" s="1"/>
  <c r="G94" i="13"/>
  <c r="G9" i="12"/>
  <c r="K9" i="12"/>
  <c r="E10" i="12"/>
  <c r="I10" i="12"/>
  <c r="M10" i="12"/>
  <c r="Q10" i="12"/>
  <c r="G11" i="12"/>
  <c r="K11" i="12"/>
  <c r="O11" i="12"/>
  <c r="E26" i="12"/>
  <c r="E21" i="12"/>
  <c r="I26" i="12"/>
  <c r="I21" i="12"/>
  <c r="I24" i="12" s="1"/>
  <c r="M26" i="12"/>
  <c r="M21" i="12"/>
  <c r="Q26" i="12"/>
  <c r="Q21" i="12"/>
  <c r="K22" i="12"/>
  <c r="I23" i="12"/>
  <c r="K24" i="12"/>
  <c r="E25" i="12"/>
  <c r="M25" i="12"/>
  <c r="E6" i="12"/>
  <c r="E9" i="12" s="1"/>
  <c r="I6" i="12"/>
  <c r="M6" i="12"/>
  <c r="Q6" i="12"/>
  <c r="G8" i="12"/>
  <c r="K8" i="12"/>
  <c r="O8" i="12"/>
  <c r="I9" i="12"/>
  <c r="M9" i="12"/>
  <c r="Q9" i="12"/>
  <c r="G10" i="12"/>
  <c r="K10" i="12"/>
  <c r="K12" i="12" s="1"/>
  <c r="O10" i="12"/>
  <c r="E11" i="12"/>
  <c r="I11" i="12"/>
  <c r="M11" i="12"/>
  <c r="Q11" i="12"/>
  <c r="G12" i="12"/>
  <c r="O12" i="12"/>
  <c r="E23" i="12"/>
  <c r="M23" i="12"/>
  <c r="G24" i="12"/>
  <c r="O24" i="12"/>
  <c r="I25" i="12"/>
  <c r="Q25" i="12"/>
  <c r="Q35" i="12"/>
  <c r="G38" i="12"/>
  <c r="K38" i="12"/>
  <c r="O38" i="12"/>
  <c r="K47" i="12"/>
  <c r="K49" i="12" s="1"/>
  <c r="K51" i="12"/>
  <c r="K52" i="12"/>
  <c r="K61" i="12"/>
  <c r="G63" i="12"/>
  <c r="K63" i="12"/>
  <c r="O63" i="12"/>
  <c r="E64" i="12"/>
  <c r="I64" i="12"/>
  <c r="M64" i="12"/>
  <c r="Q64" i="12"/>
  <c r="G65" i="12"/>
  <c r="K65" i="12"/>
  <c r="O65" i="12"/>
  <c r="G76" i="12"/>
  <c r="G74" i="12"/>
  <c r="G75" i="12"/>
  <c r="G77" i="12" s="1"/>
  <c r="K76" i="12"/>
  <c r="K74" i="12"/>
  <c r="K75" i="12"/>
  <c r="O76" i="12"/>
  <c r="O74" i="12"/>
  <c r="O75" i="12"/>
  <c r="K73" i="12"/>
  <c r="K78" i="12" s="1"/>
  <c r="G23" i="12"/>
  <c r="K23" i="12"/>
  <c r="O23" i="12"/>
  <c r="G25" i="12"/>
  <c r="G27" i="12" s="1"/>
  <c r="K25" i="12"/>
  <c r="O25" i="12"/>
  <c r="O27" i="12" s="1"/>
  <c r="K27" i="12"/>
  <c r="G34" i="12"/>
  <c r="K34" i="12"/>
  <c r="O34" i="12"/>
  <c r="K35" i="12"/>
  <c r="E36" i="12"/>
  <c r="I36" i="12"/>
  <c r="M36" i="12"/>
  <c r="Q36" i="12"/>
  <c r="G37" i="12"/>
  <c r="K37" i="12"/>
  <c r="O37" i="12"/>
  <c r="E38" i="12"/>
  <c r="I38" i="12"/>
  <c r="I40" i="12" s="1"/>
  <c r="M38" i="12"/>
  <c r="Q38" i="12"/>
  <c r="Q40" i="12" s="1"/>
  <c r="G39" i="12"/>
  <c r="K39" i="12"/>
  <c r="O39" i="12"/>
  <c r="E40" i="12"/>
  <c r="M40" i="12"/>
  <c r="Q47" i="12"/>
  <c r="Q48" i="12" s="1"/>
  <c r="Q49" i="12"/>
  <c r="Q51" i="12"/>
  <c r="Q52" i="12"/>
  <c r="E60" i="12"/>
  <c r="I60" i="12"/>
  <c r="M60" i="12"/>
  <c r="Q60" i="12"/>
  <c r="Q61" i="12"/>
  <c r="G62" i="12"/>
  <c r="K62" i="12"/>
  <c r="O62" i="12"/>
  <c r="E63" i="12"/>
  <c r="I63" i="12"/>
  <c r="M63" i="12"/>
  <c r="Q63" i="12"/>
  <c r="G64" i="12"/>
  <c r="G66" i="12" s="1"/>
  <c r="K64" i="12"/>
  <c r="O64" i="12"/>
  <c r="O66" i="12" s="1"/>
  <c r="E65" i="12"/>
  <c r="I65" i="12"/>
  <c r="M65" i="12"/>
  <c r="Q65" i="12"/>
  <c r="K66" i="12"/>
  <c r="E76" i="12"/>
  <c r="I76" i="12"/>
  <c r="M76" i="12"/>
  <c r="Q76" i="12"/>
  <c r="G86" i="12"/>
  <c r="K86" i="12"/>
  <c r="O86" i="12"/>
  <c r="E87" i="12"/>
  <c r="I87" i="12"/>
  <c r="M87" i="12"/>
  <c r="Q87" i="12"/>
  <c r="Q73" i="12"/>
  <c r="Q78" i="12" s="1"/>
  <c r="E75" i="12"/>
  <c r="E78" i="12" s="1"/>
  <c r="I75" i="12"/>
  <c r="I78" i="12" s="1"/>
  <c r="M75" i="12"/>
  <c r="M78" i="12" s="1"/>
  <c r="Q75" i="12"/>
  <c r="E77" i="12"/>
  <c r="E79" i="12" s="1"/>
  <c r="E86" i="12"/>
  <c r="I86" i="12"/>
  <c r="I89" i="12" s="1"/>
  <c r="M86" i="12"/>
  <c r="Q86" i="12"/>
  <c r="G87" i="12"/>
  <c r="G89" i="12" s="1"/>
  <c r="K87" i="12"/>
  <c r="O87" i="12"/>
  <c r="O89" i="12" s="1"/>
  <c r="I88" i="12"/>
  <c r="I90" i="12" s="1"/>
  <c r="Q88" i="12"/>
  <c r="Q90" i="12" s="1"/>
  <c r="K89" i="12"/>
  <c r="Q90" i="11"/>
  <c r="O90" i="11"/>
  <c r="M90" i="11"/>
  <c r="K90" i="11"/>
  <c r="I90" i="11"/>
  <c r="G90" i="11"/>
  <c r="E90" i="11"/>
  <c r="Q77" i="11"/>
  <c r="O77" i="11"/>
  <c r="M77" i="11"/>
  <c r="K77" i="11"/>
  <c r="I77" i="11"/>
  <c r="G77" i="11"/>
  <c r="E77" i="11"/>
  <c r="Q63" i="11"/>
  <c r="O63" i="11"/>
  <c r="M63" i="11"/>
  <c r="K63" i="11"/>
  <c r="I63" i="11"/>
  <c r="G63" i="11"/>
  <c r="E63" i="11"/>
  <c r="Q49" i="11"/>
  <c r="K49" i="11"/>
  <c r="Q35" i="11"/>
  <c r="O35" i="11"/>
  <c r="M35" i="11"/>
  <c r="K35" i="11"/>
  <c r="I35" i="11"/>
  <c r="G35" i="11"/>
  <c r="E35" i="11"/>
  <c r="Q21" i="11"/>
  <c r="E21" i="11"/>
  <c r="Q5" i="11"/>
  <c r="O5" i="11"/>
  <c r="M5" i="11"/>
  <c r="K5" i="11"/>
  <c r="I5" i="11"/>
  <c r="G5" i="11"/>
  <c r="E5" i="11"/>
  <c r="Q85" i="10"/>
  <c r="O85" i="10"/>
  <c r="M85" i="10"/>
  <c r="K85" i="10"/>
  <c r="I85" i="10"/>
  <c r="G85" i="10"/>
  <c r="E85" i="10"/>
  <c r="Q72" i="10"/>
  <c r="O72" i="10"/>
  <c r="M72" i="10"/>
  <c r="K72" i="10"/>
  <c r="I72" i="10"/>
  <c r="G72" i="10"/>
  <c r="E72" i="10"/>
  <c r="Q59" i="10"/>
  <c r="O59" i="10"/>
  <c r="M59" i="10"/>
  <c r="K59" i="10"/>
  <c r="I59" i="10"/>
  <c r="G59" i="10"/>
  <c r="E59" i="10"/>
  <c r="Q46" i="10"/>
  <c r="K46" i="10"/>
  <c r="Q33" i="10"/>
  <c r="O33" i="10"/>
  <c r="M33" i="10"/>
  <c r="K33" i="10"/>
  <c r="I33" i="10"/>
  <c r="G33" i="10"/>
  <c r="E33" i="10"/>
  <c r="Q20" i="10"/>
  <c r="O20" i="10"/>
  <c r="M20" i="10"/>
  <c r="K20" i="10"/>
  <c r="I20" i="10"/>
  <c r="G20" i="10"/>
  <c r="E20" i="10"/>
  <c r="Q5" i="10"/>
  <c r="O5" i="10"/>
  <c r="M5" i="10"/>
  <c r="K5" i="10"/>
  <c r="I5" i="10"/>
  <c r="G5" i="10"/>
  <c r="E5" i="10"/>
  <c r="O94" i="13" l="1"/>
  <c r="E82" i="13"/>
  <c r="E84" i="13" s="1"/>
  <c r="K71" i="13"/>
  <c r="Q58" i="13"/>
  <c r="Q57" i="13"/>
  <c r="K44" i="13"/>
  <c r="K29" i="13"/>
  <c r="G95" i="13"/>
  <c r="G97" i="13" s="1"/>
  <c r="G99" i="13" s="1"/>
  <c r="G100" i="13" s="1"/>
  <c r="M86" i="13"/>
  <c r="E86" i="13"/>
  <c r="O95" i="13"/>
  <c r="O97" i="13" s="1"/>
  <c r="O99" i="13" s="1"/>
  <c r="O100" i="13" s="1"/>
  <c r="Q93" i="13"/>
  <c r="Q95" i="13" s="1"/>
  <c r="I93" i="13"/>
  <c r="I95" i="13" s="1"/>
  <c r="Q82" i="13"/>
  <c r="Q84" i="13" s="1"/>
  <c r="I82" i="13"/>
  <c r="I84" i="13" s="1"/>
  <c r="M94" i="13"/>
  <c r="M97" i="13" s="1"/>
  <c r="E94" i="13"/>
  <c r="K93" i="13"/>
  <c r="K95" i="13" s="1"/>
  <c r="M88" i="13"/>
  <c r="M89" i="13" s="1"/>
  <c r="E88" i="13"/>
  <c r="E89" i="13" s="1"/>
  <c r="K82" i="13"/>
  <c r="K84" i="13" s="1"/>
  <c r="O72" i="13"/>
  <c r="G72" i="13"/>
  <c r="Q65" i="13"/>
  <c r="K73" i="13"/>
  <c r="K75" i="13" s="1"/>
  <c r="K76" i="13" s="1"/>
  <c r="O71" i="13"/>
  <c r="O73" i="13" s="1"/>
  <c r="G71" i="13"/>
  <c r="G73" i="13" s="1"/>
  <c r="Q68" i="13"/>
  <c r="I68" i="13"/>
  <c r="M66" i="13"/>
  <c r="M71" i="13" s="1"/>
  <c r="E66" i="13"/>
  <c r="E71" i="13" s="1"/>
  <c r="K58" i="13"/>
  <c r="K59" i="13" s="1"/>
  <c r="Q37" i="13"/>
  <c r="O43" i="13"/>
  <c r="O44" i="13"/>
  <c r="K45" i="13"/>
  <c r="K47" i="13" s="1"/>
  <c r="K48" i="13" s="1"/>
  <c r="G43" i="13"/>
  <c r="G44" i="13"/>
  <c r="Q23" i="13"/>
  <c r="E40" i="13"/>
  <c r="M38" i="13"/>
  <c r="E38" i="13"/>
  <c r="E43" i="13" s="1"/>
  <c r="Q40" i="13"/>
  <c r="M40" i="13"/>
  <c r="M44" i="13" s="1"/>
  <c r="M43" i="13"/>
  <c r="I40" i="13"/>
  <c r="K31" i="13"/>
  <c r="K33" i="13" s="1"/>
  <c r="K34" i="13" s="1"/>
  <c r="O29" i="13"/>
  <c r="G29" i="13"/>
  <c r="Q26" i="13"/>
  <c r="Q30" i="13" s="1"/>
  <c r="I26" i="13"/>
  <c r="I29" i="13" s="1"/>
  <c r="M24" i="13"/>
  <c r="E24" i="13"/>
  <c r="M13" i="13"/>
  <c r="M16" i="13" s="1"/>
  <c r="E13" i="13"/>
  <c r="E16" i="13" s="1"/>
  <c r="E18" i="13" s="1"/>
  <c r="E19" i="13" s="1"/>
  <c r="O10" i="13"/>
  <c r="O13" i="13" s="1"/>
  <c r="G10" i="13"/>
  <c r="G13" i="13" s="1"/>
  <c r="K8" i="13"/>
  <c r="Q94" i="13"/>
  <c r="I94" i="13"/>
  <c r="O82" i="13"/>
  <c r="G82" i="13"/>
  <c r="M72" i="13"/>
  <c r="M73" i="13" s="1"/>
  <c r="Q66" i="13"/>
  <c r="Q71" i="13" s="1"/>
  <c r="I66" i="13"/>
  <c r="I71" i="13" s="1"/>
  <c r="O45" i="13"/>
  <c r="G45" i="13"/>
  <c r="Q38" i="13"/>
  <c r="Q44" i="13" s="1"/>
  <c r="I38" i="13"/>
  <c r="I44" i="13" s="1"/>
  <c r="M26" i="13"/>
  <c r="E26" i="13"/>
  <c r="Q13" i="13"/>
  <c r="Q16" i="13" s="1"/>
  <c r="I13" i="13"/>
  <c r="I16" i="13" s="1"/>
  <c r="I18" i="13" s="1"/>
  <c r="I19" i="13" s="1"/>
  <c r="K10" i="13"/>
  <c r="K14" i="13" s="1"/>
  <c r="Q89" i="12"/>
  <c r="Q92" i="12" s="1"/>
  <c r="Q94" i="12" s="1"/>
  <c r="Q95" i="12" s="1"/>
  <c r="M77" i="12"/>
  <c r="M79" i="12" s="1"/>
  <c r="Q77" i="12"/>
  <c r="I77" i="12"/>
  <c r="O78" i="12"/>
  <c r="O77" i="12"/>
  <c r="O79" i="12" s="1"/>
  <c r="O81" i="12" s="1"/>
  <c r="O83" i="12" s="1"/>
  <c r="O84" i="12" s="1"/>
  <c r="G79" i="12"/>
  <c r="G78" i="12"/>
  <c r="K67" i="12"/>
  <c r="K68" i="12" s="1"/>
  <c r="K70" i="12" s="1"/>
  <c r="K71" i="12" s="1"/>
  <c r="Q50" i="12"/>
  <c r="Q53" i="12" s="1"/>
  <c r="I27" i="12"/>
  <c r="K28" i="12"/>
  <c r="I79" i="12"/>
  <c r="I81" i="12" s="1"/>
  <c r="I83" i="12" s="1"/>
  <c r="I84" i="12" s="1"/>
  <c r="I92" i="12"/>
  <c r="Q79" i="12"/>
  <c r="Q81" i="12" s="1"/>
  <c r="Q83" i="12" s="1"/>
  <c r="Q84" i="12" s="1"/>
  <c r="O88" i="12"/>
  <c r="G88" i="12"/>
  <c r="M81" i="12"/>
  <c r="E81" i="12"/>
  <c r="E83" i="12" s="1"/>
  <c r="E84" i="12" s="1"/>
  <c r="K77" i="12"/>
  <c r="K79" i="12" s="1"/>
  <c r="G81" i="12"/>
  <c r="G83" i="12" s="1"/>
  <c r="G84" i="12" s="1"/>
  <c r="O67" i="12"/>
  <c r="G67" i="12"/>
  <c r="G68" i="12" s="1"/>
  <c r="M62" i="12"/>
  <c r="M67" i="12" s="1"/>
  <c r="E62" i="12"/>
  <c r="E67" i="12" s="1"/>
  <c r="Q41" i="12"/>
  <c r="I41" i="12"/>
  <c r="I44" i="12" s="1"/>
  <c r="I45" i="12" s="1"/>
  <c r="O36" i="12"/>
  <c r="O41" i="12" s="1"/>
  <c r="G36" i="12"/>
  <c r="G41" i="12" s="1"/>
  <c r="O68" i="12"/>
  <c r="Q42" i="12"/>
  <c r="I42" i="12"/>
  <c r="G28" i="12"/>
  <c r="G29" i="12" s="1"/>
  <c r="K29" i="12"/>
  <c r="K31" i="12" s="1"/>
  <c r="K32" i="12" s="1"/>
  <c r="Q24" i="12"/>
  <c r="I28" i="12"/>
  <c r="K13" i="12"/>
  <c r="K15" i="12" s="1"/>
  <c r="M8" i="12"/>
  <c r="M12" i="12" s="1"/>
  <c r="E8" i="12"/>
  <c r="I94" i="12"/>
  <c r="I95" i="12" s="1"/>
  <c r="M88" i="12"/>
  <c r="M90" i="12" s="1"/>
  <c r="E88" i="12"/>
  <c r="E90" i="12" s="1"/>
  <c r="M89" i="12"/>
  <c r="E89" i="12"/>
  <c r="K88" i="12"/>
  <c r="K90" i="12" s="1"/>
  <c r="M83" i="12"/>
  <c r="M84" i="12" s="1"/>
  <c r="Q62" i="12"/>
  <c r="Q67" i="12" s="1"/>
  <c r="I62" i="12"/>
  <c r="I67" i="12" s="1"/>
  <c r="K50" i="12"/>
  <c r="K48" i="12"/>
  <c r="M41" i="12"/>
  <c r="E41" i="12"/>
  <c r="E42" i="12" s="1"/>
  <c r="E44" i="12" s="1"/>
  <c r="E45" i="12" s="1"/>
  <c r="K36" i="12"/>
  <c r="K41" i="12" s="1"/>
  <c r="O28" i="12"/>
  <c r="Q7" i="12"/>
  <c r="Q23" i="12"/>
  <c r="Q22" i="12"/>
  <c r="M24" i="12"/>
  <c r="M27" i="12" s="1"/>
  <c r="E24" i="12"/>
  <c r="E27" i="12" s="1"/>
  <c r="O13" i="12"/>
  <c r="G13" i="12"/>
  <c r="G15" i="12" s="1"/>
  <c r="Q8" i="12"/>
  <c r="I8" i="12"/>
  <c r="I13" i="12" s="1"/>
  <c r="Q96" i="11"/>
  <c r="O96" i="11"/>
  <c r="M96" i="11"/>
  <c r="K96" i="11"/>
  <c r="I96" i="11"/>
  <c r="G96" i="11"/>
  <c r="E96" i="11"/>
  <c r="Q85" i="11"/>
  <c r="O85" i="11"/>
  <c r="M85" i="11"/>
  <c r="K85" i="11"/>
  <c r="I85" i="11"/>
  <c r="G85" i="11"/>
  <c r="E85" i="11"/>
  <c r="Q56" i="11"/>
  <c r="K56" i="11"/>
  <c r="Q55" i="11"/>
  <c r="K55" i="11"/>
  <c r="Q53" i="11"/>
  <c r="K53" i="11"/>
  <c r="Q50" i="11"/>
  <c r="K50" i="11"/>
  <c r="M36" i="11"/>
  <c r="I36" i="11"/>
  <c r="E39" i="11"/>
  <c r="O22" i="11"/>
  <c r="K22" i="11"/>
  <c r="G22" i="11"/>
  <c r="O21" i="11"/>
  <c r="M21" i="11"/>
  <c r="K21" i="11"/>
  <c r="I21" i="11"/>
  <c r="G21" i="11"/>
  <c r="Q15" i="11"/>
  <c r="O15" i="11"/>
  <c r="M15" i="11"/>
  <c r="K15" i="11"/>
  <c r="I15" i="11"/>
  <c r="G15" i="11"/>
  <c r="E15" i="11"/>
  <c r="Q9" i="11"/>
  <c r="M9" i="11"/>
  <c r="I9" i="11"/>
  <c r="E9" i="11"/>
  <c r="Q6" i="11"/>
  <c r="Q7" i="11" s="1"/>
  <c r="M6" i="11"/>
  <c r="I6" i="11"/>
  <c r="E6" i="11"/>
  <c r="Q91" i="10"/>
  <c r="O91" i="10"/>
  <c r="M91" i="10"/>
  <c r="K91" i="10"/>
  <c r="I91" i="10"/>
  <c r="G91" i="10"/>
  <c r="E91" i="10"/>
  <c r="O86" i="10"/>
  <c r="K86" i="10"/>
  <c r="G86" i="10"/>
  <c r="Q80" i="10"/>
  <c r="O80" i="10"/>
  <c r="M80" i="10"/>
  <c r="K80" i="10"/>
  <c r="I80" i="10"/>
  <c r="G80" i="10"/>
  <c r="E80" i="10"/>
  <c r="Q76" i="10"/>
  <c r="M76" i="10"/>
  <c r="I76" i="10"/>
  <c r="E76" i="10"/>
  <c r="Q74" i="10"/>
  <c r="M74" i="10"/>
  <c r="I74" i="10"/>
  <c r="E74" i="10"/>
  <c r="O75" i="10"/>
  <c r="G75" i="10"/>
  <c r="Q52" i="10"/>
  <c r="K52" i="10"/>
  <c r="Q51" i="10"/>
  <c r="K51" i="10"/>
  <c r="Q47" i="10"/>
  <c r="K47" i="10"/>
  <c r="O34" i="10"/>
  <c r="K34" i="10"/>
  <c r="G34" i="10"/>
  <c r="K35" i="10"/>
  <c r="Q21" i="10"/>
  <c r="Q24" i="10" s="1"/>
  <c r="M21" i="10"/>
  <c r="M24" i="10" s="1"/>
  <c r="I21" i="10"/>
  <c r="E21" i="10"/>
  <c r="Q14" i="10"/>
  <c r="O14" i="10"/>
  <c r="M14" i="10"/>
  <c r="K14" i="10"/>
  <c r="I14" i="10"/>
  <c r="G14" i="10"/>
  <c r="E14" i="10"/>
  <c r="Q11" i="10"/>
  <c r="M11" i="10"/>
  <c r="I11" i="10"/>
  <c r="E11" i="10"/>
  <c r="Q6" i="10"/>
  <c r="Q9" i="10" s="1"/>
  <c r="M6" i="10"/>
  <c r="M9" i="10" s="1"/>
  <c r="I6" i="10"/>
  <c r="I9" i="10" s="1"/>
  <c r="E6" i="10"/>
  <c r="E9" i="10" s="1"/>
  <c r="E72" i="13" l="1"/>
  <c r="Q59" i="13"/>
  <c r="Q61" i="13" s="1"/>
  <c r="Q62" i="13" s="1"/>
  <c r="M45" i="13"/>
  <c r="G47" i="13"/>
  <c r="G48" i="13" s="1"/>
  <c r="O47" i="13"/>
  <c r="O48" i="13" s="1"/>
  <c r="E44" i="13"/>
  <c r="E30" i="13"/>
  <c r="M47" i="13"/>
  <c r="M48" i="13" s="1"/>
  <c r="Q18" i="13"/>
  <c r="Q19" i="13" s="1"/>
  <c r="M30" i="13"/>
  <c r="G14" i="13"/>
  <c r="G16" i="13" s="1"/>
  <c r="M18" i="13"/>
  <c r="M19" i="13" s="1"/>
  <c r="M29" i="13"/>
  <c r="E45" i="13"/>
  <c r="E47" i="13" s="1"/>
  <c r="E48" i="13" s="1"/>
  <c r="Q43" i="13"/>
  <c r="Q45" i="13" s="1"/>
  <c r="Q29" i="13"/>
  <c r="E73" i="13"/>
  <c r="Q72" i="13"/>
  <c r="Q73" i="13" s="1"/>
  <c r="E75" i="13"/>
  <c r="E76" i="13" s="1"/>
  <c r="G84" i="13"/>
  <c r="G86" i="13" s="1"/>
  <c r="G88" i="13" s="1"/>
  <c r="G89" i="13" s="1"/>
  <c r="K86" i="13"/>
  <c r="K97" i="13"/>
  <c r="M99" i="13"/>
  <c r="M100" i="13" s="1"/>
  <c r="G31" i="13"/>
  <c r="G33" i="13" s="1"/>
  <c r="G34" i="13" s="1"/>
  <c r="G75" i="13"/>
  <c r="G76" i="13" s="1"/>
  <c r="K88" i="13"/>
  <c r="K89" i="13" s="1"/>
  <c r="E97" i="13"/>
  <c r="E99" i="13" s="1"/>
  <c r="E100" i="13" s="1"/>
  <c r="I43" i="13"/>
  <c r="K61" i="13"/>
  <c r="K62" i="13" s="1"/>
  <c r="K99" i="13"/>
  <c r="K100" i="13" s="1"/>
  <c r="I97" i="13"/>
  <c r="I99" i="13" s="1"/>
  <c r="I100" i="13" s="1"/>
  <c r="K13" i="13"/>
  <c r="K16" i="13" s="1"/>
  <c r="O14" i="13"/>
  <c r="O16" i="13" s="1"/>
  <c r="E29" i="13"/>
  <c r="E31" i="13" s="1"/>
  <c r="I30" i="13"/>
  <c r="I31" i="13" s="1"/>
  <c r="I72" i="13"/>
  <c r="I73" i="13" s="1"/>
  <c r="M75" i="13"/>
  <c r="M76" i="13" s="1"/>
  <c r="O84" i="13"/>
  <c r="O86" i="13" s="1"/>
  <c r="O88" i="13" s="1"/>
  <c r="O89" i="13" s="1"/>
  <c r="M31" i="13"/>
  <c r="O31" i="13"/>
  <c r="O33" i="13" s="1"/>
  <c r="O34" i="13" s="1"/>
  <c r="O75" i="13"/>
  <c r="O76" i="13" s="1"/>
  <c r="I86" i="13"/>
  <c r="I88" i="13" s="1"/>
  <c r="I89" i="13" s="1"/>
  <c r="Q86" i="13"/>
  <c r="Q88" i="13" s="1"/>
  <c r="Q89" i="13" s="1"/>
  <c r="Q97" i="13"/>
  <c r="Q99" i="13" s="1"/>
  <c r="Q100" i="13" s="1"/>
  <c r="K81" i="12"/>
  <c r="K83" i="12" s="1"/>
  <c r="K84" i="12" s="1"/>
  <c r="O70" i="12"/>
  <c r="O71" i="12" s="1"/>
  <c r="Q54" i="12"/>
  <c r="Q55" i="12" s="1"/>
  <c r="Q57" i="12" s="1"/>
  <c r="Q58" i="12" s="1"/>
  <c r="K40" i="12"/>
  <c r="Q44" i="12"/>
  <c r="Q45" i="12" s="1"/>
  <c r="Q13" i="12"/>
  <c r="I66" i="12"/>
  <c r="E13" i="12"/>
  <c r="I12" i="12"/>
  <c r="G17" i="12"/>
  <c r="G18" i="12" s="1"/>
  <c r="M28" i="12"/>
  <c r="I29" i="12"/>
  <c r="I31" i="12" s="1"/>
  <c r="I32" i="12" s="1"/>
  <c r="O15" i="12"/>
  <c r="O17" i="12" s="1"/>
  <c r="O18" i="12" s="1"/>
  <c r="M42" i="12"/>
  <c r="M44" i="12" s="1"/>
  <c r="M45" i="12" s="1"/>
  <c r="G70" i="12"/>
  <c r="G71" i="12" s="1"/>
  <c r="O40" i="12"/>
  <c r="O42" i="12" s="1"/>
  <c r="O44" i="12" s="1"/>
  <c r="O45" i="12" s="1"/>
  <c r="E66" i="12"/>
  <c r="E68" i="12" s="1"/>
  <c r="I68" i="12"/>
  <c r="I70" i="12" s="1"/>
  <c r="I71" i="12" s="1"/>
  <c r="G90" i="12"/>
  <c r="G92" i="12" s="1"/>
  <c r="G94" i="12" s="1"/>
  <c r="G95" i="12" s="1"/>
  <c r="I15" i="12"/>
  <c r="K17" i="12"/>
  <c r="K18" i="12" s="1"/>
  <c r="O29" i="12"/>
  <c r="O31" i="12" s="1"/>
  <c r="O32" i="12" s="1"/>
  <c r="M92" i="12"/>
  <c r="M94" i="12" s="1"/>
  <c r="M95" i="12" s="1"/>
  <c r="Q27" i="12"/>
  <c r="K53" i="12"/>
  <c r="K54" i="12"/>
  <c r="Q66" i="12"/>
  <c r="K92" i="12"/>
  <c r="K94" i="12" s="1"/>
  <c r="K95" i="12" s="1"/>
  <c r="M13" i="12"/>
  <c r="Q12" i="12"/>
  <c r="Q15" i="12" s="1"/>
  <c r="I17" i="12"/>
  <c r="I18" i="12" s="1"/>
  <c r="Q28" i="12"/>
  <c r="G31" i="12"/>
  <c r="G32" i="12" s="1"/>
  <c r="G40" i="12"/>
  <c r="G42" i="12" s="1"/>
  <c r="K42" i="12"/>
  <c r="M66" i="12"/>
  <c r="Q68" i="12"/>
  <c r="O90" i="12"/>
  <c r="O92" i="12" s="1"/>
  <c r="O94" i="12" s="1"/>
  <c r="O95" i="12" s="1"/>
  <c r="E28" i="12"/>
  <c r="M29" i="12"/>
  <c r="K44" i="12"/>
  <c r="K45" i="12" s="1"/>
  <c r="M68" i="12"/>
  <c r="E92" i="12"/>
  <c r="E94" i="12" s="1"/>
  <c r="E95" i="12" s="1"/>
  <c r="E12" i="12"/>
  <c r="E29" i="12"/>
  <c r="G6" i="11"/>
  <c r="K6" i="11"/>
  <c r="O6" i="11"/>
  <c r="K7" i="11"/>
  <c r="E8" i="11"/>
  <c r="I8" i="11"/>
  <c r="M8" i="11"/>
  <c r="Q8" i="11"/>
  <c r="G9" i="11"/>
  <c r="K9" i="11"/>
  <c r="O9" i="11"/>
  <c r="E10" i="11"/>
  <c r="I10" i="11"/>
  <c r="M10" i="11"/>
  <c r="Q10" i="11"/>
  <c r="G11" i="11"/>
  <c r="K11" i="11"/>
  <c r="O11" i="11"/>
  <c r="E12" i="11"/>
  <c r="I12" i="11"/>
  <c r="M12" i="11"/>
  <c r="Q12" i="11"/>
  <c r="E22" i="11"/>
  <c r="I22" i="11"/>
  <c r="M22" i="11"/>
  <c r="Q22" i="11"/>
  <c r="Q23" i="11" s="1"/>
  <c r="Q30" i="11" s="1"/>
  <c r="G24" i="11"/>
  <c r="K24" i="11"/>
  <c r="O24" i="11"/>
  <c r="E25" i="11"/>
  <c r="I25" i="11"/>
  <c r="M25" i="11"/>
  <c r="Q25" i="11"/>
  <c r="G26" i="11"/>
  <c r="K26" i="11"/>
  <c r="O26" i="11"/>
  <c r="E27" i="11"/>
  <c r="I27" i="11"/>
  <c r="M27" i="11"/>
  <c r="Q27" i="11"/>
  <c r="G28" i="11"/>
  <c r="K28" i="11"/>
  <c r="O28" i="11"/>
  <c r="G41" i="11"/>
  <c r="G39" i="11"/>
  <c r="G42" i="11"/>
  <c r="K41" i="11"/>
  <c r="K39" i="11"/>
  <c r="K42" i="11"/>
  <c r="O41" i="11"/>
  <c r="O39" i="11"/>
  <c r="O42" i="11"/>
  <c r="E36" i="11"/>
  <c r="Q36" i="11"/>
  <c r="Q37" i="11" s="1"/>
  <c r="G8" i="11"/>
  <c r="K8" i="11"/>
  <c r="O8" i="11"/>
  <c r="G10" i="11"/>
  <c r="K10" i="11"/>
  <c r="O10" i="11"/>
  <c r="E11" i="11"/>
  <c r="E14" i="11" s="1"/>
  <c r="I11" i="11"/>
  <c r="I14" i="11" s="1"/>
  <c r="M11" i="11"/>
  <c r="M14" i="11" s="1"/>
  <c r="Q11" i="11"/>
  <c r="Q14" i="11" s="1"/>
  <c r="G12" i="11"/>
  <c r="K12" i="11"/>
  <c r="O12" i="11"/>
  <c r="E13" i="11"/>
  <c r="I13" i="11"/>
  <c r="M13" i="11"/>
  <c r="Q13" i="11"/>
  <c r="G14" i="11"/>
  <c r="K14" i="11"/>
  <c r="O14" i="11"/>
  <c r="K23" i="11"/>
  <c r="K30" i="11" s="1"/>
  <c r="E24" i="11"/>
  <c r="I24" i="11"/>
  <c r="I29" i="11" s="1"/>
  <c r="M24" i="11"/>
  <c r="Q24" i="11"/>
  <c r="G25" i="11"/>
  <c r="K25" i="11"/>
  <c r="O25" i="11"/>
  <c r="E26" i="11"/>
  <c r="I26" i="11"/>
  <c r="M26" i="11"/>
  <c r="Q26" i="11"/>
  <c r="G27" i="11"/>
  <c r="K27" i="11"/>
  <c r="O27" i="11"/>
  <c r="E28" i="11"/>
  <c r="I28" i="11"/>
  <c r="M28" i="11"/>
  <c r="Q28" i="11"/>
  <c r="G29" i="11"/>
  <c r="K29" i="11"/>
  <c r="O29" i="11"/>
  <c r="E30" i="11"/>
  <c r="I30" i="11"/>
  <c r="M30" i="11"/>
  <c r="E42" i="11"/>
  <c r="E40" i="11"/>
  <c r="E41" i="11"/>
  <c r="I42" i="11"/>
  <c r="I40" i="11"/>
  <c r="I41" i="11"/>
  <c r="I39" i="11"/>
  <c r="M42" i="11"/>
  <c r="M40" i="11"/>
  <c r="M41" i="11"/>
  <c r="M39" i="11"/>
  <c r="Q42" i="11"/>
  <c r="Q40" i="11"/>
  <c r="Q41" i="11"/>
  <c r="Q39" i="11"/>
  <c r="G36" i="11"/>
  <c r="K36" i="11"/>
  <c r="O36" i="11"/>
  <c r="K37" i="11"/>
  <c r="E38" i="11"/>
  <c r="I38" i="11"/>
  <c r="I44" i="11" s="1"/>
  <c r="M38" i="11"/>
  <c r="M44" i="11" s="1"/>
  <c r="Q38" i="11"/>
  <c r="Q51" i="11"/>
  <c r="Q52" i="11"/>
  <c r="Q58" i="11" s="1"/>
  <c r="Q54" i="11"/>
  <c r="Q57" i="11"/>
  <c r="E64" i="11"/>
  <c r="E68" i="11" s="1"/>
  <c r="I64" i="11"/>
  <c r="M64" i="11"/>
  <c r="Q64" i="11"/>
  <c r="Q65" i="11" s="1"/>
  <c r="E67" i="11"/>
  <c r="I67" i="11"/>
  <c r="M67" i="11"/>
  <c r="Q67" i="11"/>
  <c r="E69" i="11"/>
  <c r="I69" i="11"/>
  <c r="M69" i="11"/>
  <c r="Q69" i="11"/>
  <c r="G70" i="11"/>
  <c r="K70" i="11"/>
  <c r="O70" i="11"/>
  <c r="K51" i="11"/>
  <c r="K52" i="11"/>
  <c r="K54" i="11"/>
  <c r="K57" i="11" s="1"/>
  <c r="G64" i="11"/>
  <c r="G68" i="11" s="1"/>
  <c r="K64" i="11"/>
  <c r="O64" i="11"/>
  <c r="O68" i="11" s="1"/>
  <c r="K65" i="11"/>
  <c r="E66" i="11"/>
  <c r="I66" i="11"/>
  <c r="M66" i="11"/>
  <c r="M72" i="11" s="1"/>
  <c r="Q66" i="11"/>
  <c r="G67" i="11"/>
  <c r="K67" i="11"/>
  <c r="O67" i="11"/>
  <c r="I68" i="11"/>
  <c r="M68" i="11"/>
  <c r="Q68" i="11"/>
  <c r="G69" i="11"/>
  <c r="K69" i="11"/>
  <c r="O69" i="11"/>
  <c r="E70" i="11"/>
  <c r="I70" i="11"/>
  <c r="I72" i="11" s="1"/>
  <c r="M70" i="11"/>
  <c r="Q70" i="11"/>
  <c r="K78" i="11"/>
  <c r="E79" i="11"/>
  <c r="I79" i="11"/>
  <c r="M79" i="11"/>
  <c r="Q79" i="11"/>
  <c r="G80" i="11"/>
  <c r="K80" i="11"/>
  <c r="O80" i="11"/>
  <c r="E81" i="11"/>
  <c r="I81" i="11"/>
  <c r="M81" i="11"/>
  <c r="Q81" i="11"/>
  <c r="G91" i="11"/>
  <c r="K91" i="11"/>
  <c r="O91" i="11"/>
  <c r="E92" i="11"/>
  <c r="I92" i="11"/>
  <c r="M92" i="11"/>
  <c r="Q92" i="11"/>
  <c r="Q78" i="11"/>
  <c r="G79" i="11"/>
  <c r="K79" i="11"/>
  <c r="O79" i="11"/>
  <c r="E80" i="11"/>
  <c r="E83" i="11" s="1"/>
  <c r="I80" i="11"/>
  <c r="I82" i="11" s="1"/>
  <c r="I84" i="11" s="1"/>
  <c r="M80" i="11"/>
  <c r="M83" i="11" s="1"/>
  <c r="Q80" i="11"/>
  <c r="Q82" i="11" s="1"/>
  <c r="Q84" i="11" s="1"/>
  <c r="G81" i="11"/>
  <c r="K81" i="11"/>
  <c r="K83" i="11" s="1"/>
  <c r="O81" i="11"/>
  <c r="E82" i="11"/>
  <c r="E84" i="11" s="1"/>
  <c r="M82" i="11"/>
  <c r="M84" i="11" s="1"/>
  <c r="G83" i="11"/>
  <c r="O83" i="11"/>
  <c r="E91" i="11"/>
  <c r="E93" i="11" s="1"/>
  <c r="E95" i="11" s="1"/>
  <c r="I91" i="11"/>
  <c r="I93" i="11" s="1"/>
  <c r="I95" i="11" s="1"/>
  <c r="M91" i="11"/>
  <c r="Q91" i="11"/>
  <c r="Q93" i="11" s="1"/>
  <c r="Q95" i="11" s="1"/>
  <c r="G92" i="11"/>
  <c r="G93" i="11" s="1"/>
  <c r="K92" i="11"/>
  <c r="K94" i="11" s="1"/>
  <c r="O92" i="11"/>
  <c r="O93" i="11" s="1"/>
  <c r="M93" i="11"/>
  <c r="M95" i="11" s="1"/>
  <c r="G94" i="11"/>
  <c r="O94" i="11"/>
  <c r="Q22" i="10"/>
  <c r="E24" i="10"/>
  <c r="I24" i="10"/>
  <c r="G25" i="10"/>
  <c r="K25" i="10"/>
  <c r="O25" i="10"/>
  <c r="E26" i="10"/>
  <c r="I26" i="10"/>
  <c r="M26" i="10"/>
  <c r="Q26" i="10"/>
  <c r="E39" i="10"/>
  <c r="E38" i="10"/>
  <c r="I39" i="10"/>
  <c r="I38" i="10"/>
  <c r="M39" i="10"/>
  <c r="M38" i="10"/>
  <c r="Q39" i="10"/>
  <c r="Q38" i="10"/>
  <c r="Q7" i="10"/>
  <c r="G10" i="10"/>
  <c r="K10" i="10"/>
  <c r="O10" i="10"/>
  <c r="G6" i="10"/>
  <c r="G8" i="10" s="1"/>
  <c r="K6" i="10"/>
  <c r="O6" i="10"/>
  <c r="K7" i="10"/>
  <c r="E8" i="10"/>
  <c r="E13" i="10" s="1"/>
  <c r="I8" i="10"/>
  <c r="M8" i="10"/>
  <c r="M13" i="10" s="1"/>
  <c r="Q8" i="10"/>
  <c r="G9" i="10"/>
  <c r="K9" i="10"/>
  <c r="O9" i="10"/>
  <c r="E10" i="10"/>
  <c r="I10" i="10"/>
  <c r="I12" i="10" s="1"/>
  <c r="M10" i="10"/>
  <c r="Q10" i="10"/>
  <c r="Q12" i="10" s="1"/>
  <c r="G11" i="10"/>
  <c r="K11" i="10"/>
  <c r="O11" i="10"/>
  <c r="E12" i="10"/>
  <c r="M12" i="10"/>
  <c r="G21" i="10"/>
  <c r="K21" i="10"/>
  <c r="O21" i="10"/>
  <c r="K22" i="10"/>
  <c r="E23" i="10"/>
  <c r="I23" i="10"/>
  <c r="M23" i="10"/>
  <c r="Q23" i="10"/>
  <c r="G24" i="10"/>
  <c r="K24" i="10"/>
  <c r="O24" i="10"/>
  <c r="E25" i="10"/>
  <c r="I25" i="10"/>
  <c r="M25" i="10"/>
  <c r="Q25" i="10"/>
  <c r="G26" i="10"/>
  <c r="K26" i="10"/>
  <c r="O26" i="10"/>
  <c r="E27" i="10"/>
  <c r="I27" i="10"/>
  <c r="M27" i="10"/>
  <c r="Q27" i="10"/>
  <c r="G38" i="10"/>
  <c r="G39" i="10"/>
  <c r="G37" i="10"/>
  <c r="K38" i="10"/>
  <c r="K39" i="10"/>
  <c r="K37" i="10"/>
  <c r="O38" i="10"/>
  <c r="O39" i="10"/>
  <c r="O37" i="10"/>
  <c r="E34" i="10"/>
  <c r="I34" i="10"/>
  <c r="M34" i="10"/>
  <c r="Q34" i="10"/>
  <c r="G36" i="10"/>
  <c r="G40" i="10" s="1"/>
  <c r="K36" i="10"/>
  <c r="O36" i="10"/>
  <c r="O40" i="10" s="1"/>
  <c r="I37" i="10"/>
  <c r="Q37" i="10"/>
  <c r="Q48" i="10"/>
  <c r="Q49" i="10"/>
  <c r="Q50" i="10"/>
  <c r="Q54" i="10" s="1"/>
  <c r="E60" i="10"/>
  <c r="E63" i="10" s="1"/>
  <c r="I60" i="10"/>
  <c r="M60" i="10"/>
  <c r="Q60" i="10"/>
  <c r="Q61" i="10"/>
  <c r="I63" i="10"/>
  <c r="M63" i="10"/>
  <c r="Q63" i="10"/>
  <c r="G64" i="10"/>
  <c r="K64" i="10"/>
  <c r="O64" i="10"/>
  <c r="E65" i="10"/>
  <c r="I65" i="10"/>
  <c r="M65" i="10"/>
  <c r="Q65" i="10"/>
  <c r="K48" i="10"/>
  <c r="K49" i="10"/>
  <c r="K50" i="10"/>
  <c r="K54" i="10" s="1"/>
  <c r="G60" i="10"/>
  <c r="G62" i="10" s="1"/>
  <c r="K60" i="10"/>
  <c r="O60" i="10"/>
  <c r="O62" i="10" s="1"/>
  <c r="K61" i="10"/>
  <c r="I62" i="10"/>
  <c r="I67" i="10" s="1"/>
  <c r="M62" i="10"/>
  <c r="Q62" i="10"/>
  <c r="Q67" i="10" s="1"/>
  <c r="G63" i="10"/>
  <c r="K63" i="10"/>
  <c r="E64" i="10"/>
  <c r="I64" i="10"/>
  <c r="M64" i="10"/>
  <c r="M66" i="10" s="1"/>
  <c r="Q64" i="10"/>
  <c r="G65" i="10"/>
  <c r="K65" i="10"/>
  <c r="O65" i="10"/>
  <c r="G76" i="10"/>
  <c r="G74" i="10"/>
  <c r="K76" i="10"/>
  <c r="K74" i="10"/>
  <c r="O76" i="10"/>
  <c r="O74" i="10"/>
  <c r="K73" i="10"/>
  <c r="K75" i="10"/>
  <c r="O77" i="10"/>
  <c r="O79" i="10" s="1"/>
  <c r="E87" i="10"/>
  <c r="I87" i="10"/>
  <c r="M87" i="10"/>
  <c r="Q87" i="10"/>
  <c r="Q73" i="10"/>
  <c r="E75" i="10"/>
  <c r="E78" i="10" s="1"/>
  <c r="I75" i="10"/>
  <c r="I78" i="10" s="1"/>
  <c r="M75" i="10"/>
  <c r="Q75" i="10"/>
  <c r="E77" i="10"/>
  <c r="E79" i="10" s="1"/>
  <c r="I77" i="10"/>
  <c r="M77" i="10"/>
  <c r="M79" i="10" s="1"/>
  <c r="Q77" i="10"/>
  <c r="I79" i="10"/>
  <c r="Q79" i="10"/>
  <c r="E86" i="10"/>
  <c r="I86" i="10"/>
  <c r="M86" i="10"/>
  <c r="Q86" i="10"/>
  <c r="G87" i="10"/>
  <c r="G88" i="10" s="1"/>
  <c r="K87" i="10"/>
  <c r="K88" i="10" s="1"/>
  <c r="O87" i="10"/>
  <c r="O88" i="10" s="1"/>
  <c r="I88" i="10"/>
  <c r="I90" i="10" s="1"/>
  <c r="Q88" i="10"/>
  <c r="Q90" i="10" s="1"/>
  <c r="K89" i="10"/>
  <c r="E92" i="9"/>
  <c r="Q90" i="7"/>
  <c r="O90" i="7"/>
  <c r="M90" i="7"/>
  <c r="K90" i="7"/>
  <c r="I90" i="7"/>
  <c r="G90" i="7"/>
  <c r="E90" i="7"/>
  <c r="Q77" i="7"/>
  <c r="O77" i="7"/>
  <c r="M77" i="7"/>
  <c r="K77" i="7"/>
  <c r="I77" i="7"/>
  <c r="G77" i="7"/>
  <c r="E77" i="7"/>
  <c r="Q63" i="7"/>
  <c r="O63" i="7"/>
  <c r="M63" i="7"/>
  <c r="K63" i="7"/>
  <c r="I63" i="7"/>
  <c r="G63" i="7"/>
  <c r="E63" i="7"/>
  <c r="Q35" i="7"/>
  <c r="O35" i="7"/>
  <c r="M35" i="7"/>
  <c r="K35" i="7"/>
  <c r="I35" i="7"/>
  <c r="G35" i="7"/>
  <c r="E35" i="7"/>
  <c r="Q21" i="7"/>
  <c r="O21" i="7"/>
  <c r="M21" i="7"/>
  <c r="K21" i="7"/>
  <c r="I21" i="7"/>
  <c r="G21" i="7"/>
  <c r="E21" i="7"/>
  <c r="Q5" i="7"/>
  <c r="O5" i="7"/>
  <c r="M5" i="7"/>
  <c r="K5" i="7"/>
  <c r="I5" i="7"/>
  <c r="G5" i="7"/>
  <c r="E5" i="7"/>
  <c r="E91" i="9"/>
  <c r="Q86" i="9"/>
  <c r="O86" i="9"/>
  <c r="M86" i="9"/>
  <c r="K86" i="9"/>
  <c r="I86" i="9"/>
  <c r="G86" i="9"/>
  <c r="E86" i="9"/>
  <c r="G80" i="9"/>
  <c r="E80" i="9"/>
  <c r="M33" i="13" l="1"/>
  <c r="M34" i="13" s="1"/>
  <c r="M106" i="13" s="1"/>
  <c r="I75" i="13"/>
  <c r="I76" i="13" s="1"/>
  <c r="Q31" i="13"/>
  <c r="Q33" i="13" s="1"/>
  <c r="Q34" i="13" s="1"/>
  <c r="I45" i="13"/>
  <c r="I47" i="13" s="1"/>
  <c r="I48" i="13" s="1"/>
  <c r="E33" i="13"/>
  <c r="E34" i="13" s="1"/>
  <c r="M104" i="13"/>
  <c r="M102" i="13"/>
  <c r="K18" i="13"/>
  <c r="K19" i="13" s="1"/>
  <c r="I33" i="13"/>
  <c r="I34" i="13" s="1"/>
  <c r="G18" i="13"/>
  <c r="G19" i="13" s="1"/>
  <c r="Q47" i="13"/>
  <c r="Q48" i="13" s="1"/>
  <c r="O18" i="13"/>
  <c r="O19" i="13" s="1"/>
  <c r="Q75" i="13"/>
  <c r="Q76" i="13" s="1"/>
  <c r="Q70" i="12"/>
  <c r="Q71" i="12" s="1"/>
  <c r="M31" i="12"/>
  <c r="M32" i="12" s="1"/>
  <c r="M15" i="12"/>
  <c r="M17" i="12" s="1"/>
  <c r="M18" i="12" s="1"/>
  <c r="O101" i="12"/>
  <c r="O97" i="12"/>
  <c r="O99" i="12"/>
  <c r="E31" i="12"/>
  <c r="E32" i="12" s="1"/>
  <c r="Q17" i="12"/>
  <c r="Q18" i="12" s="1"/>
  <c r="K55" i="12"/>
  <c r="K57" i="12" s="1"/>
  <c r="K58" i="12" s="1"/>
  <c r="Q29" i="12"/>
  <c r="Q31" i="12" s="1"/>
  <c r="Q32" i="12" s="1"/>
  <c r="E70" i="12"/>
  <c r="E71" i="12" s="1"/>
  <c r="M70" i="12"/>
  <c r="M71" i="12" s="1"/>
  <c r="G44" i="12"/>
  <c r="G45" i="12" s="1"/>
  <c r="G101" i="12" s="1"/>
  <c r="I99" i="12"/>
  <c r="I101" i="12"/>
  <c r="I97" i="12"/>
  <c r="E15" i="12"/>
  <c r="E17" i="12" s="1"/>
  <c r="E18" i="12" s="1"/>
  <c r="K93" i="11"/>
  <c r="K95" i="11" s="1"/>
  <c r="Q71" i="11"/>
  <c r="M71" i="11"/>
  <c r="E72" i="11"/>
  <c r="E71" i="11"/>
  <c r="Q59" i="11"/>
  <c r="K58" i="11"/>
  <c r="K59" i="11" s="1"/>
  <c r="Q29" i="11"/>
  <c r="K13" i="11"/>
  <c r="K78" i="10"/>
  <c r="G67" i="10"/>
  <c r="Q66" i="10"/>
  <c r="I66" i="10"/>
  <c r="O63" i="10"/>
  <c r="O67" i="10" s="1"/>
  <c r="E62" i="10"/>
  <c r="E66" i="10" s="1"/>
  <c r="Q28" i="10"/>
  <c r="I28" i="10"/>
  <c r="G13" i="10"/>
  <c r="O95" i="11"/>
  <c r="O97" i="11" s="1"/>
  <c r="O99" i="11" s="1"/>
  <c r="O100" i="11" s="1"/>
  <c r="G95" i="11"/>
  <c r="G97" i="11" s="1"/>
  <c r="G99" i="11" s="1"/>
  <c r="G100" i="11" s="1"/>
  <c r="Q72" i="11"/>
  <c r="Q73" i="11" s="1"/>
  <c r="Q75" i="11" s="1"/>
  <c r="Q76" i="11" s="1"/>
  <c r="K16" i="11"/>
  <c r="M86" i="11"/>
  <c r="E86" i="11"/>
  <c r="Q61" i="11"/>
  <c r="Q62" i="11" s="1"/>
  <c r="Q44" i="11"/>
  <c r="Q43" i="11"/>
  <c r="Q45" i="11"/>
  <c r="Q94" i="11"/>
  <c r="I94" i="11"/>
  <c r="Q83" i="11"/>
  <c r="Q86" i="11" s="1"/>
  <c r="I83" i="11"/>
  <c r="I86" i="11" s="1"/>
  <c r="O82" i="11"/>
  <c r="O84" i="11" s="1"/>
  <c r="G82" i="11"/>
  <c r="Q97" i="11"/>
  <c r="I97" i="11"/>
  <c r="M73" i="11"/>
  <c r="M75" i="11" s="1"/>
  <c r="M76" i="11" s="1"/>
  <c r="E73" i="11"/>
  <c r="E75" i="11" s="1"/>
  <c r="E76" i="11" s="1"/>
  <c r="I71" i="11"/>
  <c r="K68" i="11"/>
  <c r="O66" i="11"/>
  <c r="O71" i="11" s="1"/>
  <c r="G66" i="11"/>
  <c r="G71" i="11" s="1"/>
  <c r="E43" i="11"/>
  <c r="E44" i="11"/>
  <c r="O38" i="11"/>
  <c r="G38" i="11"/>
  <c r="Q31" i="11"/>
  <c r="Q33" i="11" s="1"/>
  <c r="Q34" i="11" s="1"/>
  <c r="I31" i="11"/>
  <c r="I33" i="11" s="1"/>
  <c r="I34" i="11" s="1"/>
  <c r="O30" i="11"/>
  <c r="O31" i="11" s="1"/>
  <c r="G30" i="11"/>
  <c r="M29" i="11"/>
  <c r="M31" i="11" s="1"/>
  <c r="E29" i="11"/>
  <c r="E31" i="11" s="1"/>
  <c r="K18" i="11"/>
  <c r="K19" i="11" s="1"/>
  <c r="Q16" i="11"/>
  <c r="Q18" i="11" s="1"/>
  <c r="Q19" i="11" s="1"/>
  <c r="I16" i="11"/>
  <c r="I18" i="11" s="1"/>
  <c r="I19" i="11" s="1"/>
  <c r="O13" i="11"/>
  <c r="G13" i="11"/>
  <c r="G16" i="11" s="1"/>
  <c r="K31" i="11"/>
  <c r="K33" i="11" s="1"/>
  <c r="K34" i="11" s="1"/>
  <c r="K97" i="11"/>
  <c r="K99" i="11" s="1"/>
  <c r="K100" i="11" s="1"/>
  <c r="M94" i="11"/>
  <c r="M97" i="11" s="1"/>
  <c r="E94" i="11"/>
  <c r="M88" i="11"/>
  <c r="M89" i="11" s="1"/>
  <c r="E88" i="11"/>
  <c r="E89" i="11" s="1"/>
  <c r="K82" i="11"/>
  <c r="O72" i="11"/>
  <c r="O73" i="11" s="1"/>
  <c r="G72" i="11"/>
  <c r="G73" i="11" s="1"/>
  <c r="K66" i="11"/>
  <c r="K71" i="11" s="1"/>
  <c r="M43" i="11"/>
  <c r="M45" i="11" s="1"/>
  <c r="I43" i="11"/>
  <c r="I45" i="11" s="1"/>
  <c r="E45" i="11"/>
  <c r="K38" i="11"/>
  <c r="O40" i="11"/>
  <c r="O44" i="11" s="1"/>
  <c r="K40" i="11"/>
  <c r="K44" i="11" s="1"/>
  <c r="G40" i="11"/>
  <c r="G44" i="11" s="1"/>
  <c r="M16" i="11"/>
  <c r="M18" i="11" s="1"/>
  <c r="M19" i="11" s="1"/>
  <c r="E16" i="11"/>
  <c r="E18" i="11" s="1"/>
  <c r="E19" i="11" s="1"/>
  <c r="G90" i="10"/>
  <c r="K90" i="10"/>
  <c r="K92" i="10" s="1"/>
  <c r="K94" i="10" s="1"/>
  <c r="K95" i="10" s="1"/>
  <c r="Q68" i="10"/>
  <c r="I68" i="10"/>
  <c r="I70" i="10" s="1"/>
  <c r="I71" i="10" s="1"/>
  <c r="O90" i="10"/>
  <c r="Q29" i="10"/>
  <c r="Q31" i="10" s="1"/>
  <c r="Q32" i="10" s="1"/>
  <c r="Q89" i="10"/>
  <c r="Q92" i="10" s="1"/>
  <c r="I89" i="10"/>
  <c r="O78" i="10"/>
  <c r="G78" i="10"/>
  <c r="I81" i="10"/>
  <c r="I83" i="10" s="1"/>
  <c r="I84" i="10" s="1"/>
  <c r="Q70" i="10"/>
  <c r="Q71" i="10" s="1"/>
  <c r="M67" i="10"/>
  <c r="M68" i="10" s="1"/>
  <c r="E67" i="10"/>
  <c r="K62" i="10"/>
  <c r="K67" i="10" s="1"/>
  <c r="O41" i="10"/>
  <c r="O42" i="10" s="1"/>
  <c r="O44" i="10" s="1"/>
  <c r="O45" i="10" s="1"/>
  <c r="K40" i="10"/>
  <c r="G41" i="10"/>
  <c r="G42" i="10" s="1"/>
  <c r="G44" i="10" s="1"/>
  <c r="G45" i="10" s="1"/>
  <c r="O8" i="10"/>
  <c r="O13" i="10" s="1"/>
  <c r="K77" i="10"/>
  <c r="M37" i="10"/>
  <c r="M36" i="10"/>
  <c r="E36" i="10"/>
  <c r="M28" i="10"/>
  <c r="M29" i="10" s="1"/>
  <c r="M31" i="10" s="1"/>
  <c r="M32" i="10" s="1"/>
  <c r="E28" i="10"/>
  <c r="E29" i="10" s="1"/>
  <c r="E31" i="10" s="1"/>
  <c r="E32" i="10" s="1"/>
  <c r="K27" i="10"/>
  <c r="K23" i="10"/>
  <c r="K28" i="10" s="1"/>
  <c r="Q13" i="10"/>
  <c r="Q15" i="10" s="1"/>
  <c r="I13" i="10"/>
  <c r="O12" i="10"/>
  <c r="G12" i="10"/>
  <c r="G15" i="10" s="1"/>
  <c r="G17" i="10" s="1"/>
  <c r="G18" i="10" s="1"/>
  <c r="I29" i="10"/>
  <c r="I31" i="10" s="1"/>
  <c r="I32" i="10" s="1"/>
  <c r="O15" i="10"/>
  <c r="O89" i="10"/>
  <c r="O92" i="10" s="1"/>
  <c r="G89" i="10"/>
  <c r="G92" i="10" s="1"/>
  <c r="M88" i="10"/>
  <c r="M90" i="10" s="1"/>
  <c r="E88" i="10"/>
  <c r="E90" i="10" s="1"/>
  <c r="Q78" i="10"/>
  <c r="M89" i="10"/>
  <c r="E89" i="10"/>
  <c r="G77" i="10"/>
  <c r="G79" i="10" s="1"/>
  <c r="O81" i="10"/>
  <c r="K53" i="10"/>
  <c r="K55" i="10" s="1"/>
  <c r="M78" i="10"/>
  <c r="M81" i="10" s="1"/>
  <c r="E81" i="10"/>
  <c r="E83" i="10" s="1"/>
  <c r="E84" i="10" s="1"/>
  <c r="O66" i="10"/>
  <c r="G66" i="10"/>
  <c r="G68" i="10" s="1"/>
  <c r="Q53" i="10"/>
  <c r="Q35" i="10"/>
  <c r="K41" i="10"/>
  <c r="K8" i="10"/>
  <c r="K13" i="10" s="1"/>
  <c r="E37" i="10"/>
  <c r="E41" i="10" s="1"/>
  <c r="I36" i="10"/>
  <c r="I41" i="10" s="1"/>
  <c r="Q36" i="10"/>
  <c r="Q40" i="10" s="1"/>
  <c r="M40" i="10"/>
  <c r="I40" i="10"/>
  <c r="O23" i="10"/>
  <c r="O28" i="10" s="1"/>
  <c r="G23" i="10"/>
  <c r="G28" i="10" s="1"/>
  <c r="M15" i="10"/>
  <c r="M17" i="10" s="1"/>
  <c r="M18" i="10" s="1"/>
  <c r="E15" i="10"/>
  <c r="E17" i="10" s="1"/>
  <c r="E18" i="10" s="1"/>
  <c r="K12" i="10"/>
  <c r="Q73" i="9"/>
  <c r="O73" i="9"/>
  <c r="M73" i="9"/>
  <c r="K73" i="9"/>
  <c r="I73" i="9"/>
  <c r="G73" i="9"/>
  <c r="E73" i="9"/>
  <c r="Q60" i="9"/>
  <c r="O60" i="9"/>
  <c r="M60" i="9"/>
  <c r="K60" i="9"/>
  <c r="I60" i="9"/>
  <c r="G60" i="9"/>
  <c r="E60" i="9"/>
  <c r="Q34" i="9"/>
  <c r="O34" i="9"/>
  <c r="M34" i="9"/>
  <c r="K34" i="9"/>
  <c r="I34" i="9"/>
  <c r="G34" i="9"/>
  <c r="E34" i="9"/>
  <c r="Q21" i="9"/>
  <c r="O21" i="9"/>
  <c r="M21" i="9"/>
  <c r="K21" i="9"/>
  <c r="I21" i="9"/>
  <c r="G21" i="9"/>
  <c r="E21" i="9"/>
  <c r="Q6" i="9"/>
  <c r="O6" i="9"/>
  <c r="M6" i="9"/>
  <c r="K6" i="9"/>
  <c r="I6" i="9"/>
  <c r="G6" i="9"/>
  <c r="E6" i="9"/>
  <c r="M107" i="13" l="1"/>
  <c r="M109" i="13" s="1"/>
  <c r="M111" i="13" s="1"/>
  <c r="I104" i="13"/>
  <c r="I102" i="13"/>
  <c r="I106" i="13"/>
  <c r="Q102" i="13"/>
  <c r="Q104" i="13"/>
  <c r="E104" i="13"/>
  <c r="E102" i="13"/>
  <c r="E106" i="13"/>
  <c r="O106" i="13"/>
  <c r="O102" i="13"/>
  <c r="O104" i="13"/>
  <c r="G106" i="13"/>
  <c r="G102" i="13"/>
  <c r="G104" i="13"/>
  <c r="K106" i="13"/>
  <c r="K102" i="13"/>
  <c r="K104" i="13"/>
  <c r="Q106" i="13"/>
  <c r="I102" i="12"/>
  <c r="I104" i="12" s="1"/>
  <c r="I106" i="12" s="1"/>
  <c r="O102" i="12"/>
  <c r="O104" i="12" s="1"/>
  <c r="O106" i="12" s="1"/>
  <c r="E99" i="12"/>
  <c r="E101" i="12"/>
  <c r="E97" i="12"/>
  <c r="K97" i="12"/>
  <c r="K99" i="12"/>
  <c r="K101" i="12"/>
  <c r="G99" i="12"/>
  <c r="G97" i="12"/>
  <c r="M97" i="12"/>
  <c r="M99" i="12"/>
  <c r="Q99" i="12"/>
  <c r="Q101" i="12"/>
  <c r="Q97" i="12"/>
  <c r="M101" i="12"/>
  <c r="Q99" i="11"/>
  <c r="Q100" i="11" s="1"/>
  <c r="I99" i="11"/>
  <c r="I100" i="11" s="1"/>
  <c r="K61" i="11"/>
  <c r="K62" i="11" s="1"/>
  <c r="Q47" i="11"/>
  <c r="Q48" i="11" s="1"/>
  <c r="O43" i="11"/>
  <c r="G43" i="11"/>
  <c r="E47" i="11"/>
  <c r="E48" i="11" s="1"/>
  <c r="O83" i="10"/>
  <c r="O84" i="10" s="1"/>
  <c r="O68" i="10"/>
  <c r="K57" i="10"/>
  <c r="K58" i="10" s="1"/>
  <c r="E40" i="10"/>
  <c r="M41" i="10"/>
  <c r="M42" i="10" s="1"/>
  <c r="M44" i="10" s="1"/>
  <c r="M45" i="10" s="1"/>
  <c r="M99" i="11"/>
  <c r="M100" i="11" s="1"/>
  <c r="G45" i="11"/>
  <c r="G47" i="11" s="1"/>
  <c r="G48" i="11" s="1"/>
  <c r="O45" i="11"/>
  <c r="O47" i="11" s="1"/>
  <c r="O48" i="11" s="1"/>
  <c r="I47" i="11"/>
  <c r="I48" i="11" s="1"/>
  <c r="M47" i="11"/>
  <c r="M48" i="11" s="1"/>
  <c r="G75" i="11"/>
  <c r="G76" i="11" s="1"/>
  <c r="O86" i="11"/>
  <c r="O88" i="11" s="1"/>
  <c r="O89" i="11" s="1"/>
  <c r="Q88" i="11"/>
  <c r="Q89" i="11" s="1"/>
  <c r="O16" i="11"/>
  <c r="O18" i="11" s="1"/>
  <c r="O19" i="11" s="1"/>
  <c r="M33" i="11"/>
  <c r="M34" i="11" s="1"/>
  <c r="O33" i="11"/>
  <c r="O34" i="11" s="1"/>
  <c r="I73" i="11"/>
  <c r="I75" i="11" s="1"/>
  <c r="I76" i="11" s="1"/>
  <c r="K84" i="11"/>
  <c r="K86" i="11" s="1"/>
  <c r="K88" i="11" s="1"/>
  <c r="K89" i="11" s="1"/>
  <c r="G31" i="11"/>
  <c r="G33" i="11" s="1"/>
  <c r="G34" i="11" s="1"/>
  <c r="G18" i="11"/>
  <c r="G19" i="11" s="1"/>
  <c r="K43" i="11"/>
  <c r="G84" i="11"/>
  <c r="G86" i="11" s="1"/>
  <c r="G88" i="11" s="1"/>
  <c r="G89" i="11" s="1"/>
  <c r="E97" i="11"/>
  <c r="E99" i="11" s="1"/>
  <c r="E100" i="11" s="1"/>
  <c r="K72" i="11"/>
  <c r="O75" i="11"/>
  <c r="O76" i="11" s="1"/>
  <c r="I88" i="11"/>
  <c r="I89" i="11" s="1"/>
  <c r="E33" i="11"/>
  <c r="E34" i="11" s="1"/>
  <c r="K73" i="11"/>
  <c r="G27" i="10"/>
  <c r="M83" i="10"/>
  <c r="M84" i="10" s="1"/>
  <c r="I15" i="10"/>
  <c r="I17" i="10" s="1"/>
  <c r="I18" i="10" s="1"/>
  <c r="E42" i="10"/>
  <c r="E44" i="10" s="1"/>
  <c r="E45" i="10" s="1"/>
  <c r="I42" i="10"/>
  <c r="G70" i="10"/>
  <c r="G71" i="10" s="1"/>
  <c r="Q94" i="10"/>
  <c r="Q95" i="10" s="1"/>
  <c r="Q17" i="10"/>
  <c r="Q18" i="10" s="1"/>
  <c r="I44" i="10"/>
  <c r="I45" i="10" s="1"/>
  <c r="K42" i="10"/>
  <c r="K44" i="10" s="1"/>
  <c r="K45" i="10" s="1"/>
  <c r="E68" i="10"/>
  <c r="E70" i="10" s="1"/>
  <c r="E71" i="10" s="1"/>
  <c r="M70" i="10"/>
  <c r="M71" i="10" s="1"/>
  <c r="M92" i="10"/>
  <c r="M94" i="10" s="1"/>
  <c r="M95" i="10" s="1"/>
  <c r="O94" i="10"/>
  <c r="O95" i="10" s="1"/>
  <c r="K15" i="10"/>
  <c r="K17" i="10" s="1"/>
  <c r="K18" i="10" s="1"/>
  <c r="K29" i="10"/>
  <c r="K31" i="10" s="1"/>
  <c r="K32" i="10" s="1"/>
  <c r="K79" i="10"/>
  <c r="K81" i="10" s="1"/>
  <c r="K83" i="10" s="1"/>
  <c r="K84" i="10" s="1"/>
  <c r="I92" i="10"/>
  <c r="I94" i="10" s="1"/>
  <c r="I95" i="10" s="1"/>
  <c r="G94" i="10"/>
  <c r="G95" i="10" s="1"/>
  <c r="O27" i="10"/>
  <c r="O29" i="10" s="1"/>
  <c r="O31" i="10" s="1"/>
  <c r="O32" i="10" s="1"/>
  <c r="Q55" i="10"/>
  <c r="Q57" i="10" s="1"/>
  <c r="Q58" i="10" s="1"/>
  <c r="G81" i="10"/>
  <c r="G83" i="10" s="1"/>
  <c r="G84" i="10" s="1"/>
  <c r="G29" i="10"/>
  <c r="G31" i="10" s="1"/>
  <c r="G32" i="10" s="1"/>
  <c r="Q41" i="10"/>
  <c r="O70" i="10"/>
  <c r="O71" i="10" s="1"/>
  <c r="K66" i="10"/>
  <c r="K68" i="10" s="1"/>
  <c r="O17" i="10"/>
  <c r="O18" i="10" s="1"/>
  <c r="E92" i="10"/>
  <c r="E94" i="10" s="1"/>
  <c r="E95" i="10" s="1"/>
  <c r="K70" i="10"/>
  <c r="K71" i="10" s="1"/>
  <c r="Q81" i="10"/>
  <c r="Q83" i="10" s="1"/>
  <c r="Q84" i="10" s="1"/>
  <c r="Q96" i="7"/>
  <c r="O96" i="7"/>
  <c r="M96" i="7"/>
  <c r="K96" i="7"/>
  <c r="I96" i="7"/>
  <c r="G96" i="7"/>
  <c r="E96" i="7"/>
  <c r="Q85" i="7"/>
  <c r="O85" i="7"/>
  <c r="M85" i="7"/>
  <c r="K85" i="7"/>
  <c r="I85" i="7"/>
  <c r="G85" i="7"/>
  <c r="E85" i="7"/>
  <c r="Q70" i="7"/>
  <c r="O70" i="7"/>
  <c r="M70" i="7"/>
  <c r="K70" i="7"/>
  <c r="I70" i="7"/>
  <c r="G70" i="7"/>
  <c r="E70" i="7"/>
  <c r="Q56" i="7"/>
  <c r="K56" i="7"/>
  <c r="Q42" i="7"/>
  <c r="O42" i="7"/>
  <c r="M42" i="7"/>
  <c r="K42" i="7"/>
  <c r="I42" i="7"/>
  <c r="G42" i="7"/>
  <c r="E42" i="7"/>
  <c r="Q28" i="7"/>
  <c r="O28" i="7"/>
  <c r="M28" i="7"/>
  <c r="K28" i="7"/>
  <c r="I28" i="7"/>
  <c r="G28" i="7"/>
  <c r="E28" i="7"/>
  <c r="Q15" i="7"/>
  <c r="K15" i="7"/>
  <c r="O15" i="7"/>
  <c r="M15" i="7"/>
  <c r="I15" i="7"/>
  <c r="G15" i="7"/>
  <c r="E15" i="7"/>
  <c r="Q12" i="7"/>
  <c r="O12" i="7"/>
  <c r="M12" i="7"/>
  <c r="K12" i="7"/>
  <c r="I12" i="7"/>
  <c r="G12" i="7"/>
  <c r="E12" i="7"/>
  <c r="Q92" i="9"/>
  <c r="O92" i="9"/>
  <c r="M92" i="9"/>
  <c r="K92" i="9"/>
  <c r="I92" i="9"/>
  <c r="G92" i="9"/>
  <c r="Q81" i="9"/>
  <c r="O81" i="9"/>
  <c r="M81" i="9"/>
  <c r="K81" i="9"/>
  <c r="I81" i="9"/>
  <c r="G81" i="9"/>
  <c r="Q66" i="9"/>
  <c r="O66" i="9"/>
  <c r="M66" i="9"/>
  <c r="K66" i="9"/>
  <c r="I66" i="9"/>
  <c r="G66" i="9"/>
  <c r="Q53" i="9"/>
  <c r="K53" i="9"/>
  <c r="Q40" i="9"/>
  <c r="O40" i="9"/>
  <c r="M40" i="9"/>
  <c r="K40" i="9"/>
  <c r="I40" i="9"/>
  <c r="G40" i="9"/>
  <c r="Q27" i="9"/>
  <c r="O27" i="9"/>
  <c r="M27" i="9"/>
  <c r="K27" i="9"/>
  <c r="I27" i="9"/>
  <c r="G27" i="9"/>
  <c r="Q15" i="9"/>
  <c r="K15" i="9"/>
  <c r="O15" i="9"/>
  <c r="M15" i="9"/>
  <c r="I15" i="9"/>
  <c r="G15" i="9"/>
  <c r="G107" i="13" l="1"/>
  <c r="G109" i="13" s="1"/>
  <c r="G111" i="13" s="1"/>
  <c r="I107" i="13"/>
  <c r="I109" i="13" s="1"/>
  <c r="I111" i="13" s="1"/>
  <c r="Q107" i="13"/>
  <c r="Q109" i="13" s="1"/>
  <c r="Q111" i="13" s="1"/>
  <c r="K107" i="13"/>
  <c r="K109" i="13" s="1"/>
  <c r="K111" i="13" s="1"/>
  <c r="O107" i="13"/>
  <c r="O109" i="13" s="1"/>
  <c r="O111" i="13" s="1"/>
  <c r="E107" i="13"/>
  <c r="E109" i="13" s="1"/>
  <c r="E111" i="13" s="1"/>
  <c r="G102" i="12"/>
  <c r="G104" i="12" s="1"/>
  <c r="G106" i="12" s="1"/>
  <c r="E102" i="12"/>
  <c r="E104" i="12" s="1"/>
  <c r="E106" i="12" s="1"/>
  <c r="K102" i="12"/>
  <c r="K104" i="12" s="1"/>
  <c r="K106" i="12" s="1"/>
  <c r="M102" i="12"/>
  <c r="M104" i="12" s="1"/>
  <c r="M106" i="12" s="1"/>
  <c r="Q102" i="12"/>
  <c r="Q104" i="12" s="1"/>
  <c r="Q106" i="12" s="1"/>
  <c r="K75" i="11"/>
  <c r="K76" i="11" s="1"/>
  <c r="M99" i="10"/>
  <c r="O106" i="11"/>
  <c r="O102" i="11"/>
  <c r="O104" i="11"/>
  <c r="O107" i="11" s="1"/>
  <c r="O109" i="11" s="1"/>
  <c r="O111" i="11" s="1"/>
  <c r="G106" i="11"/>
  <c r="G102" i="11"/>
  <c r="G107" i="11" s="1"/>
  <c r="G109" i="11" s="1"/>
  <c r="G111" i="11" s="1"/>
  <c r="G104" i="11"/>
  <c r="K45" i="11"/>
  <c r="K47" i="11" s="1"/>
  <c r="K48" i="11" s="1"/>
  <c r="I102" i="11"/>
  <c r="I104" i="11"/>
  <c r="E102" i="11"/>
  <c r="E104" i="11"/>
  <c r="Q102" i="11"/>
  <c r="Q104" i="11"/>
  <c r="M102" i="11"/>
  <c r="M104" i="11"/>
  <c r="I106" i="11"/>
  <c r="E106" i="11"/>
  <c r="Q106" i="11"/>
  <c r="M106" i="11"/>
  <c r="G97" i="10"/>
  <c r="G99" i="10"/>
  <c r="G101" i="10"/>
  <c r="G102" i="10" s="1"/>
  <c r="G104" i="10" s="1"/>
  <c r="G106" i="10" s="1"/>
  <c r="E101" i="10"/>
  <c r="E99" i="10"/>
  <c r="E97" i="10"/>
  <c r="K101" i="10"/>
  <c r="K97" i="10"/>
  <c r="K99" i="10"/>
  <c r="K102" i="10" s="1"/>
  <c r="K104" i="10" s="1"/>
  <c r="K106" i="10" s="1"/>
  <c r="I99" i="10"/>
  <c r="I101" i="10"/>
  <c r="I97" i="10"/>
  <c r="O101" i="10"/>
  <c r="O97" i="10"/>
  <c r="O99" i="10"/>
  <c r="M101" i="10"/>
  <c r="Q42" i="10"/>
  <c r="Q44" i="10" s="1"/>
  <c r="Q45" i="10" s="1"/>
  <c r="M97" i="10"/>
  <c r="M102" i="10" s="1"/>
  <c r="M104" i="10" s="1"/>
  <c r="M106" i="10" s="1"/>
  <c r="Q12" i="9"/>
  <c r="O12" i="9"/>
  <c r="M12" i="9"/>
  <c r="K12" i="9"/>
  <c r="I12" i="9"/>
  <c r="G12" i="9"/>
  <c r="Q107" i="11" l="1"/>
  <c r="Q109" i="11" s="1"/>
  <c r="Q111" i="11" s="1"/>
  <c r="M107" i="11"/>
  <c r="M109" i="11" s="1"/>
  <c r="M111" i="11" s="1"/>
  <c r="I107" i="11"/>
  <c r="I109" i="11" s="1"/>
  <c r="I111" i="11" s="1"/>
  <c r="E107" i="11"/>
  <c r="E109" i="11" s="1"/>
  <c r="E111" i="11" s="1"/>
  <c r="O102" i="10"/>
  <c r="O104" i="10" s="1"/>
  <c r="O106" i="10" s="1"/>
  <c r="I102" i="10"/>
  <c r="I104" i="10" s="1"/>
  <c r="I106" i="10" s="1"/>
  <c r="E102" i="10"/>
  <c r="E104" i="10" s="1"/>
  <c r="E106" i="10" s="1"/>
  <c r="K106" i="11"/>
  <c r="K102" i="11"/>
  <c r="K104" i="11"/>
  <c r="Q99" i="10"/>
  <c r="Q97" i="10"/>
  <c r="Q101" i="10"/>
  <c r="Q102" i="10" s="1"/>
  <c r="Q104" i="10" s="1"/>
  <c r="Q106" i="10" s="1"/>
  <c r="E81" i="9"/>
  <c r="E77" i="9"/>
  <c r="E75" i="9"/>
  <c r="E40" i="9"/>
  <c r="E35" i="9"/>
  <c r="E27" i="9"/>
  <c r="E26" i="9"/>
  <c r="E11" i="9"/>
  <c r="E12" i="9"/>
  <c r="E15" i="9"/>
  <c r="K107" i="11" l="1"/>
  <c r="K109" i="11" s="1"/>
  <c r="K111" i="11" s="1"/>
  <c r="E38" i="9"/>
  <c r="E65" i="9"/>
  <c r="E37" i="9"/>
  <c r="E39" i="9"/>
  <c r="E41" i="9"/>
  <c r="E61" i="9"/>
  <c r="E64" i="9" s="1"/>
  <c r="E66" i="9"/>
  <c r="E76" i="9"/>
  <c r="E79" i="9" s="1"/>
  <c r="E87" i="9"/>
  <c r="E42" i="9"/>
  <c r="E88" i="9"/>
  <c r="E89" i="9" s="1"/>
  <c r="E22" i="9"/>
  <c r="E7" i="9"/>
  <c r="I65" i="9"/>
  <c r="K65" i="9"/>
  <c r="M65" i="9"/>
  <c r="O65" i="9"/>
  <c r="Q65" i="9"/>
  <c r="G65" i="9"/>
  <c r="Q52" i="9"/>
  <c r="K52" i="9"/>
  <c r="I39" i="9"/>
  <c r="K39" i="9"/>
  <c r="M39" i="9"/>
  <c r="O39" i="9"/>
  <c r="Q39" i="9"/>
  <c r="G39" i="9"/>
  <c r="I26" i="9"/>
  <c r="K26" i="9"/>
  <c r="M26" i="9"/>
  <c r="O26" i="9"/>
  <c r="Q26" i="9"/>
  <c r="G26" i="9"/>
  <c r="I11" i="9"/>
  <c r="K11" i="9"/>
  <c r="M11" i="9"/>
  <c r="O11" i="9"/>
  <c r="Q11" i="9"/>
  <c r="G11" i="9"/>
  <c r="G69" i="7"/>
  <c r="I69" i="7"/>
  <c r="K69" i="7"/>
  <c r="M69" i="7"/>
  <c r="O69" i="7"/>
  <c r="Q69" i="7"/>
  <c r="E69" i="7"/>
  <c r="K55" i="7"/>
  <c r="G41" i="7"/>
  <c r="I41" i="7"/>
  <c r="K41" i="7"/>
  <c r="M41" i="7"/>
  <c r="O41" i="7"/>
  <c r="Q41" i="7"/>
  <c r="E41" i="7"/>
  <c r="G27" i="7"/>
  <c r="I27" i="7"/>
  <c r="K27" i="7"/>
  <c r="M27" i="7"/>
  <c r="O27" i="7"/>
  <c r="Q27" i="7"/>
  <c r="E27" i="7"/>
  <c r="G11" i="7"/>
  <c r="I11" i="7"/>
  <c r="K11" i="7"/>
  <c r="M11" i="7"/>
  <c r="O11" i="7"/>
  <c r="Q11" i="7"/>
  <c r="E11" i="7"/>
  <c r="E90" i="9" l="1"/>
  <c r="E63" i="9"/>
  <c r="E25" i="9"/>
  <c r="E24" i="9"/>
  <c r="E29" i="9" s="1"/>
  <c r="E28" i="9"/>
  <c r="E9" i="9"/>
  <c r="E13" i="9" s="1"/>
  <c r="E10" i="9"/>
  <c r="E14" i="9"/>
  <c r="E93" i="9"/>
  <c r="E95" i="9" s="1"/>
  <c r="E96" i="9" s="1"/>
  <c r="E68" i="9"/>
  <c r="E67" i="9"/>
  <c r="E43" i="9"/>
  <c r="E45" i="9" s="1"/>
  <c r="E46" i="9" s="1"/>
  <c r="E78" i="9"/>
  <c r="E30" i="9" l="1"/>
  <c r="E32" i="9" s="1"/>
  <c r="E33" i="9" s="1"/>
  <c r="E16" i="9"/>
  <c r="E18" i="9" s="1"/>
  <c r="E19" i="9" s="1"/>
  <c r="E82" i="9"/>
  <c r="E84" i="9" s="1"/>
  <c r="E85" i="9" s="1"/>
  <c r="E69" i="9"/>
  <c r="E71" i="9" s="1"/>
  <c r="E72" i="9" s="1"/>
  <c r="E98" i="9" l="1"/>
  <c r="E102" i="9"/>
  <c r="E100" i="9"/>
  <c r="O75" i="9"/>
  <c r="K75" i="9"/>
  <c r="Q48" i="9"/>
  <c r="K48" i="9"/>
  <c r="O35" i="9"/>
  <c r="G35" i="9"/>
  <c r="E103" i="9" l="1"/>
  <c r="E105" i="9" s="1"/>
  <c r="E107" i="9" s="1"/>
  <c r="I7" i="9"/>
  <c r="I10" i="9" s="1"/>
  <c r="M7" i="9"/>
  <c r="M9" i="9" s="1"/>
  <c r="Q7" i="9"/>
  <c r="Q8" i="9" s="1"/>
  <c r="G22" i="9"/>
  <c r="G24" i="9" s="1"/>
  <c r="K22" i="9"/>
  <c r="O22" i="9"/>
  <c r="K23" i="9"/>
  <c r="K35" i="9"/>
  <c r="K36" i="9" s="1"/>
  <c r="G7" i="9"/>
  <c r="G9" i="9" s="1"/>
  <c r="K7" i="9"/>
  <c r="O7" i="9"/>
  <c r="O9" i="9" s="1"/>
  <c r="K8" i="9"/>
  <c r="I9" i="9"/>
  <c r="M10" i="9"/>
  <c r="Q10" i="9"/>
  <c r="I22" i="9"/>
  <c r="M22" i="9"/>
  <c r="M25" i="9" s="1"/>
  <c r="Q22" i="9"/>
  <c r="Q23" i="9" s="1"/>
  <c r="K24" i="9"/>
  <c r="O24" i="9"/>
  <c r="K25" i="9"/>
  <c r="O25" i="9"/>
  <c r="G38" i="9"/>
  <c r="G37" i="9"/>
  <c r="O38" i="9"/>
  <c r="O37" i="9"/>
  <c r="I35" i="9"/>
  <c r="M35" i="9"/>
  <c r="Q35" i="9"/>
  <c r="Q49" i="9"/>
  <c r="Q50" i="9"/>
  <c r="Q51" i="9"/>
  <c r="I61" i="9"/>
  <c r="M61" i="9"/>
  <c r="Q61" i="9"/>
  <c r="K49" i="9"/>
  <c r="K50" i="9"/>
  <c r="K51" i="9"/>
  <c r="G61" i="9"/>
  <c r="K61" i="9"/>
  <c r="O61" i="9"/>
  <c r="K62" i="9"/>
  <c r="I63" i="9"/>
  <c r="M63" i="9"/>
  <c r="Q63" i="9"/>
  <c r="I64" i="9"/>
  <c r="M64" i="9"/>
  <c r="Q64" i="9"/>
  <c r="K74" i="9"/>
  <c r="I75" i="9"/>
  <c r="M75" i="9"/>
  <c r="Q75" i="9"/>
  <c r="G76" i="9"/>
  <c r="K76" i="9"/>
  <c r="O76" i="9"/>
  <c r="K77" i="9"/>
  <c r="K79" i="9" s="1"/>
  <c r="O77" i="9"/>
  <c r="O79" i="9"/>
  <c r="I87" i="9"/>
  <c r="M87" i="9"/>
  <c r="Q87" i="9"/>
  <c r="G88" i="9"/>
  <c r="K88" i="9"/>
  <c r="O88" i="9"/>
  <c r="Q74" i="9"/>
  <c r="G75" i="9"/>
  <c r="I76" i="9"/>
  <c r="M76" i="9"/>
  <c r="Q76" i="9"/>
  <c r="G77" i="9"/>
  <c r="I77" i="9"/>
  <c r="M77" i="9"/>
  <c r="Q77" i="9"/>
  <c r="G78" i="9"/>
  <c r="I78" i="9"/>
  <c r="M78" i="9"/>
  <c r="Q78" i="9"/>
  <c r="G79" i="9"/>
  <c r="I79" i="9"/>
  <c r="M79" i="9"/>
  <c r="Q79" i="9"/>
  <c r="G87" i="9"/>
  <c r="G89" i="9" s="1"/>
  <c r="K87" i="9"/>
  <c r="O87" i="9"/>
  <c r="I88" i="9"/>
  <c r="M88" i="9"/>
  <c r="M89" i="9" s="1"/>
  <c r="Q88" i="9"/>
  <c r="I90" i="9"/>
  <c r="Q90" i="9"/>
  <c r="Q91" i="7"/>
  <c r="O91" i="7"/>
  <c r="M91" i="7"/>
  <c r="K91" i="7"/>
  <c r="I91" i="7"/>
  <c r="G91" i="7"/>
  <c r="Q81" i="7"/>
  <c r="O81" i="7"/>
  <c r="M81" i="7"/>
  <c r="K81" i="7"/>
  <c r="I81" i="7"/>
  <c r="K38" i="9" l="1"/>
  <c r="G25" i="9"/>
  <c r="O89" i="9"/>
  <c r="O91" i="9" s="1"/>
  <c r="M91" i="9"/>
  <c r="G91" i="9"/>
  <c r="Q80" i="9"/>
  <c r="Q82" i="9" s="1"/>
  <c r="M80" i="9"/>
  <c r="M82" i="9" s="1"/>
  <c r="I80" i="9"/>
  <c r="I82" i="9" s="1"/>
  <c r="G82" i="9"/>
  <c r="Q67" i="9"/>
  <c r="I68" i="9"/>
  <c r="I67" i="9"/>
  <c r="K64" i="9"/>
  <c r="M67" i="9"/>
  <c r="M68" i="9"/>
  <c r="Q54" i="9"/>
  <c r="O41" i="9"/>
  <c r="K37" i="9"/>
  <c r="G42" i="9"/>
  <c r="Q9" i="9"/>
  <c r="K55" i="9"/>
  <c r="Q55" i="9"/>
  <c r="Q56" i="9" s="1"/>
  <c r="K54" i="9"/>
  <c r="O29" i="9"/>
  <c r="K42" i="9"/>
  <c r="G41" i="9"/>
  <c r="K41" i="9"/>
  <c r="Q36" i="9"/>
  <c r="O42" i="9"/>
  <c r="G43" i="9"/>
  <c r="G45" i="9" s="1"/>
  <c r="G46" i="9" s="1"/>
  <c r="K43" i="9"/>
  <c r="K45" i="9" s="1"/>
  <c r="K46" i="9" s="1"/>
  <c r="M14" i="9"/>
  <c r="K28" i="9"/>
  <c r="K29" i="9"/>
  <c r="I13" i="9"/>
  <c r="G28" i="9"/>
  <c r="O28" i="9"/>
  <c r="G29" i="9"/>
  <c r="I14" i="9"/>
  <c r="I16" i="9" s="1"/>
  <c r="Q14" i="9"/>
  <c r="M13" i="9"/>
  <c r="M16" i="9" s="1"/>
  <c r="M18" i="9" s="1"/>
  <c r="M19" i="9" s="1"/>
  <c r="Q13" i="9"/>
  <c r="Q16" i="9" s="1"/>
  <c r="K78" i="9"/>
  <c r="K80" i="9" s="1"/>
  <c r="K82" i="9" s="1"/>
  <c r="K84" i="9" s="1"/>
  <c r="K85" i="9" s="1"/>
  <c r="Q84" i="9"/>
  <c r="Q85" i="9" s="1"/>
  <c r="O78" i="9"/>
  <c r="O80" i="9" s="1"/>
  <c r="O82" i="9" s="1"/>
  <c r="O84" i="9" s="1"/>
  <c r="O85" i="9" s="1"/>
  <c r="M84" i="9"/>
  <c r="M85" i="9" s="1"/>
  <c r="G84" i="9"/>
  <c r="G85" i="9" s="1"/>
  <c r="I84" i="9"/>
  <c r="I85" i="9" s="1"/>
  <c r="M90" i="9"/>
  <c r="K89" i="9"/>
  <c r="K91" i="9" s="1"/>
  <c r="K90" i="9"/>
  <c r="K93" i="9" s="1"/>
  <c r="Q89" i="9"/>
  <c r="Q91" i="9" s="1"/>
  <c r="I89" i="9"/>
  <c r="I91" i="9" s="1"/>
  <c r="O64" i="9"/>
  <c r="G64" i="9"/>
  <c r="K63" i="9"/>
  <c r="K68" i="9" s="1"/>
  <c r="Q62" i="9"/>
  <c r="Q38" i="9"/>
  <c r="M37" i="9"/>
  <c r="I38" i="9"/>
  <c r="Q25" i="9"/>
  <c r="I25" i="9"/>
  <c r="M24" i="9"/>
  <c r="M28" i="9" s="1"/>
  <c r="O10" i="9"/>
  <c r="O14" i="9" s="1"/>
  <c r="G10" i="9"/>
  <c r="G13" i="9" s="1"/>
  <c r="K9" i="9"/>
  <c r="O90" i="9"/>
  <c r="G90" i="9"/>
  <c r="G93" i="9" s="1"/>
  <c r="O63" i="9"/>
  <c r="O67" i="9" s="1"/>
  <c r="G63" i="9"/>
  <c r="Q37" i="9"/>
  <c r="M38" i="9"/>
  <c r="I37" i="9"/>
  <c r="Q24" i="9"/>
  <c r="I24" i="9"/>
  <c r="K10" i="9"/>
  <c r="O92" i="7"/>
  <c r="O93" i="7" s="1"/>
  <c r="O95" i="7" s="1"/>
  <c r="K92" i="7"/>
  <c r="K94" i="7" s="1"/>
  <c r="G92" i="7"/>
  <c r="G93" i="7" s="1"/>
  <c r="G95" i="7" s="1"/>
  <c r="Q92" i="7"/>
  <c r="Q94" i="7" s="1"/>
  <c r="M92" i="7"/>
  <c r="M93" i="7" s="1"/>
  <c r="M95" i="7" s="1"/>
  <c r="I92" i="7"/>
  <c r="I94" i="7" s="1"/>
  <c r="G81" i="7"/>
  <c r="E81" i="7"/>
  <c r="E91" i="7"/>
  <c r="E92" i="7"/>
  <c r="M69" i="9" l="1"/>
  <c r="M71" i="9" s="1"/>
  <c r="M72" i="9" s="1"/>
  <c r="O93" i="9"/>
  <c r="K67" i="9"/>
  <c r="K69" i="9" s="1"/>
  <c r="K71" i="9" s="1"/>
  <c r="K72" i="9" s="1"/>
  <c r="I69" i="9"/>
  <c r="I71" i="9" s="1"/>
  <c r="I72" i="9" s="1"/>
  <c r="Q68" i="9"/>
  <c r="Q69" i="9" s="1"/>
  <c r="O68" i="9"/>
  <c r="G68" i="9"/>
  <c r="G67" i="9"/>
  <c r="Q41" i="9"/>
  <c r="Q58" i="9"/>
  <c r="Q59" i="9" s="1"/>
  <c r="K56" i="9"/>
  <c r="K58" i="9" s="1"/>
  <c r="K59" i="9" s="1"/>
  <c r="M42" i="9"/>
  <c r="G30" i="9"/>
  <c r="G32" i="9" s="1"/>
  <c r="G33" i="9" s="1"/>
  <c r="O43" i="9"/>
  <c r="O45" i="9" s="1"/>
  <c r="O46" i="9" s="1"/>
  <c r="I42" i="9"/>
  <c r="K30" i="9"/>
  <c r="K32" i="9" s="1"/>
  <c r="K33" i="9" s="1"/>
  <c r="I41" i="9"/>
  <c r="I43" i="9" s="1"/>
  <c r="Q42" i="9"/>
  <c r="M41" i="9"/>
  <c r="M43" i="9" s="1"/>
  <c r="I18" i="9"/>
  <c r="I19" i="9" s="1"/>
  <c r="M29" i="9"/>
  <c r="M30" i="9" s="1"/>
  <c r="Q28" i="9"/>
  <c r="Q29" i="9"/>
  <c r="K14" i="9"/>
  <c r="I28" i="9"/>
  <c r="O30" i="9"/>
  <c r="O32" i="9" s="1"/>
  <c r="O33" i="9" s="1"/>
  <c r="I29" i="9"/>
  <c r="G14" i="9"/>
  <c r="G16" i="9" s="1"/>
  <c r="G18" i="9" s="1"/>
  <c r="Q18" i="9"/>
  <c r="Q19" i="9" s="1"/>
  <c r="O13" i="9"/>
  <c r="K13" i="9"/>
  <c r="Q93" i="9"/>
  <c r="Q95" i="9" s="1"/>
  <c r="Q96" i="9" s="1"/>
  <c r="G95" i="9"/>
  <c r="G96" i="9" s="1"/>
  <c r="K95" i="9"/>
  <c r="K96" i="9" s="1"/>
  <c r="M93" i="9"/>
  <c r="M95" i="9" s="1"/>
  <c r="M96" i="9" s="1"/>
  <c r="I93" i="9"/>
  <c r="I95" i="9" s="1"/>
  <c r="I96" i="9" s="1"/>
  <c r="O95" i="9"/>
  <c r="O96" i="9" s="1"/>
  <c r="I93" i="7"/>
  <c r="I95" i="7" s="1"/>
  <c r="Q93" i="7"/>
  <c r="Q95" i="7" s="1"/>
  <c r="M94" i="7"/>
  <c r="K93" i="7"/>
  <c r="K95" i="7" s="1"/>
  <c r="G94" i="7"/>
  <c r="O94" i="7"/>
  <c r="E93" i="7"/>
  <c r="E94" i="7"/>
  <c r="E95" i="7" l="1"/>
  <c r="E97" i="7" s="1"/>
  <c r="E99" i="7" s="1"/>
  <c r="E100" i="7" s="1"/>
  <c r="G69" i="9"/>
  <c r="K16" i="9"/>
  <c r="K18" i="9" s="1"/>
  <c r="K19" i="9" s="1"/>
  <c r="K102" i="9" s="1"/>
  <c r="O69" i="9"/>
  <c r="O71" i="9" s="1"/>
  <c r="O72" i="9" s="1"/>
  <c r="Q71" i="9"/>
  <c r="G71" i="9"/>
  <c r="G72" i="9" s="1"/>
  <c r="M45" i="9"/>
  <c r="M46" i="9" s="1"/>
  <c r="Q43" i="9"/>
  <c r="Q45" i="9" s="1"/>
  <c r="Q46" i="9" s="1"/>
  <c r="I30" i="9"/>
  <c r="Q30" i="9"/>
  <c r="Q32" i="9" s="1"/>
  <c r="Q33" i="9" s="1"/>
  <c r="M32" i="9"/>
  <c r="M33" i="9" s="1"/>
  <c r="M102" i="9" s="1"/>
  <c r="I45" i="9"/>
  <c r="I46" i="9" s="1"/>
  <c r="I32" i="9"/>
  <c r="I33" i="9" s="1"/>
  <c r="O16" i="9"/>
  <c r="O18" i="9" s="1"/>
  <c r="O19" i="9" s="1"/>
  <c r="Q72" i="9"/>
  <c r="M100" i="9"/>
  <c r="G19" i="9"/>
  <c r="K97" i="7"/>
  <c r="K99" i="7" s="1"/>
  <c r="K100" i="7" s="1"/>
  <c r="Q97" i="7"/>
  <c r="Q99" i="7" s="1"/>
  <c r="Q100" i="7" s="1"/>
  <c r="O97" i="7"/>
  <c r="O99" i="7" s="1"/>
  <c r="O100" i="7" s="1"/>
  <c r="M97" i="7"/>
  <c r="M99" i="7" s="1"/>
  <c r="M100" i="7" s="1"/>
  <c r="I97" i="7"/>
  <c r="I99" i="7" s="1"/>
  <c r="I100" i="7" s="1"/>
  <c r="G97" i="7"/>
  <c r="G99" i="7" s="1"/>
  <c r="G100" i="7" s="1"/>
  <c r="M98" i="9" l="1"/>
  <c r="O102" i="9"/>
  <c r="Q102" i="9"/>
  <c r="G102" i="9"/>
  <c r="I102" i="9"/>
  <c r="K98" i="9"/>
  <c r="K100" i="9"/>
  <c r="M103" i="9"/>
  <c r="M105" i="9" s="1"/>
  <c r="M107" i="9" s="1"/>
  <c r="Q100" i="9"/>
  <c r="Q98" i="9"/>
  <c r="O100" i="9"/>
  <c r="O98" i="9"/>
  <c r="G100" i="9"/>
  <c r="G98" i="9"/>
  <c r="I98" i="9"/>
  <c r="I100" i="9"/>
  <c r="Q55" i="7"/>
  <c r="K103" i="9" l="1"/>
  <c r="K105" i="9" s="1"/>
  <c r="K107" i="9" s="1"/>
  <c r="Q103" i="9"/>
  <c r="Q105" i="9" s="1"/>
  <c r="Q107" i="9" s="1"/>
  <c r="O103" i="9"/>
  <c r="O105" i="9" s="1"/>
  <c r="O107" i="9" s="1"/>
  <c r="I103" i="9"/>
  <c r="I105" i="9" s="1"/>
  <c r="I107" i="9" s="1"/>
  <c r="G103" i="9"/>
  <c r="G105" i="9" s="1"/>
  <c r="G107" i="9" s="1"/>
  <c r="Q53" i="7"/>
  <c r="K53" i="7"/>
  <c r="Q50" i="7" l="1"/>
  <c r="K50" i="7"/>
  <c r="Q54" i="7" l="1"/>
  <c r="K54" i="7"/>
  <c r="K52" i="7"/>
  <c r="K51" i="7"/>
  <c r="Q51" i="7"/>
  <c r="Q52" i="7"/>
  <c r="Q58" i="7" l="1"/>
  <c r="K57" i="7"/>
  <c r="Q57" i="7"/>
  <c r="Q59" i="7" s="1"/>
  <c r="Q61" i="7" s="1"/>
  <c r="K58" i="7"/>
  <c r="G80" i="7"/>
  <c r="K80" i="7"/>
  <c r="O80" i="7"/>
  <c r="E80" i="7"/>
  <c r="I80" i="7"/>
  <c r="M80" i="7"/>
  <c r="Q80" i="7"/>
  <c r="K25" i="7"/>
  <c r="G39" i="7"/>
  <c r="K39" i="7"/>
  <c r="K67" i="7"/>
  <c r="K78" i="7"/>
  <c r="O39" i="7"/>
  <c r="Q25" i="7"/>
  <c r="Q67" i="7"/>
  <c r="I39" i="7"/>
  <c r="M39" i="7"/>
  <c r="Q9" i="7"/>
  <c r="Q39" i="7"/>
  <c r="Q78" i="7"/>
  <c r="Q79" i="7"/>
  <c r="I9" i="7"/>
  <c r="I25" i="7"/>
  <c r="E39" i="7"/>
  <c r="E67" i="7"/>
  <c r="I67" i="7"/>
  <c r="O25" i="7"/>
  <c r="O67" i="7"/>
  <c r="E25" i="7"/>
  <c r="G9" i="7"/>
  <c r="G25" i="7"/>
  <c r="G67" i="7"/>
  <c r="M25" i="7"/>
  <c r="M67" i="7"/>
  <c r="O9" i="7"/>
  <c r="E9" i="7"/>
  <c r="M9" i="7"/>
  <c r="K9" i="7"/>
  <c r="Q6" i="7"/>
  <c r="Q22" i="7"/>
  <c r="Q36" i="7"/>
  <c r="Q64" i="7"/>
  <c r="Q66" i="7" s="1"/>
  <c r="O6" i="7"/>
  <c r="O22" i="7"/>
  <c r="O36" i="7"/>
  <c r="O64" i="7"/>
  <c r="O66" i="7" s="1"/>
  <c r="O79" i="7"/>
  <c r="M6" i="7"/>
  <c r="M22" i="7"/>
  <c r="M36" i="7"/>
  <c r="M64" i="7"/>
  <c r="M66" i="7" s="1"/>
  <c r="M79" i="7"/>
  <c r="E6" i="7"/>
  <c r="I6" i="7"/>
  <c r="E8" i="7"/>
  <c r="I8" i="7"/>
  <c r="E22" i="7"/>
  <c r="E24" i="7" s="1"/>
  <c r="I22" i="7"/>
  <c r="I24" i="7"/>
  <c r="E36" i="7"/>
  <c r="E38" i="7" s="1"/>
  <c r="I36" i="7"/>
  <c r="G64" i="7"/>
  <c r="K64" i="7"/>
  <c r="K65" i="7" s="1"/>
  <c r="G66" i="7"/>
  <c r="G79" i="7"/>
  <c r="K79" i="7"/>
  <c r="G6" i="7"/>
  <c r="K6" i="7"/>
  <c r="G22" i="7"/>
  <c r="K22" i="7"/>
  <c r="G24" i="7"/>
  <c r="G36" i="7"/>
  <c r="K36" i="7"/>
  <c r="E64" i="7"/>
  <c r="E66" i="7" s="1"/>
  <c r="I64" i="7"/>
  <c r="I66" i="7"/>
  <c r="E79" i="7"/>
  <c r="I79" i="7"/>
  <c r="K8" i="7" l="1"/>
  <c r="I82" i="7"/>
  <c r="I84" i="7" s="1"/>
  <c r="I83" i="7"/>
  <c r="E83" i="7"/>
  <c r="E82" i="7"/>
  <c r="E84" i="7" s="1"/>
  <c r="G82" i="7"/>
  <c r="G84" i="7" s="1"/>
  <c r="G83" i="7"/>
  <c r="O83" i="7"/>
  <c r="O82" i="7"/>
  <c r="O84" i="7" s="1"/>
  <c r="K83" i="7"/>
  <c r="K82" i="7"/>
  <c r="K84" i="7" s="1"/>
  <c r="K59" i="7"/>
  <c r="K61" i="7" s="1"/>
  <c r="K62" i="7" s="1"/>
  <c r="M82" i="7"/>
  <c r="M84" i="7" s="1"/>
  <c r="M83" i="7"/>
  <c r="Q82" i="7"/>
  <c r="Q84" i="7" s="1"/>
  <c r="Q83" i="7"/>
  <c r="G38" i="7"/>
  <c r="G44" i="7" s="1"/>
  <c r="K38" i="7"/>
  <c r="I38" i="7"/>
  <c r="I44" i="7" s="1"/>
  <c r="G8" i="7"/>
  <c r="M8" i="7"/>
  <c r="Q24" i="7"/>
  <c r="G26" i="7"/>
  <c r="G29" i="7" s="1"/>
  <c r="O8" i="7"/>
  <c r="Q8" i="7"/>
  <c r="Q40" i="7"/>
  <c r="O68" i="7"/>
  <c r="O71" i="7" s="1"/>
  <c r="O26" i="7"/>
  <c r="M10" i="7"/>
  <c r="I68" i="7"/>
  <c r="E68" i="7"/>
  <c r="I40" i="7"/>
  <c r="Q26" i="7"/>
  <c r="O40" i="7"/>
  <c r="G68" i="7"/>
  <c r="G72" i="7" s="1"/>
  <c r="K40" i="7"/>
  <c r="K26" i="7"/>
  <c r="G10" i="7"/>
  <c r="G14" i="7" s="1"/>
  <c r="Q10" i="7"/>
  <c r="M40" i="7"/>
  <c r="E40" i="7"/>
  <c r="I26" i="7"/>
  <c r="E26" i="7"/>
  <c r="E29" i="7" s="1"/>
  <c r="I10" i="7"/>
  <c r="E10" i="7"/>
  <c r="Q68" i="7"/>
  <c r="Q71" i="7" s="1"/>
  <c r="O10" i="7"/>
  <c r="M68" i="7"/>
  <c r="M71" i="7" s="1"/>
  <c r="M26" i="7"/>
  <c r="K68" i="7"/>
  <c r="G40" i="7"/>
  <c r="K10" i="7"/>
  <c r="Q37" i="7"/>
  <c r="Q44" i="7" s="1"/>
  <c r="Q38" i="7"/>
  <c r="Q23" i="7"/>
  <c r="K66" i="7"/>
  <c r="K37" i="7"/>
  <c r="K43" i="7" s="1"/>
  <c r="K23" i="7"/>
  <c r="K24" i="7"/>
  <c r="Q62" i="7"/>
  <c r="Q7" i="7"/>
  <c r="Q13" i="7" s="1"/>
  <c r="Q65" i="7"/>
  <c r="K7" i="7"/>
  <c r="K13" i="7" s="1"/>
  <c r="O38" i="7"/>
  <c r="O44" i="7" s="1"/>
  <c r="O24" i="7"/>
  <c r="O29" i="7" s="1"/>
  <c r="M38" i="7"/>
  <c r="M44" i="7" s="1"/>
  <c r="M24" i="7"/>
  <c r="M30" i="7" s="1"/>
  <c r="K86" i="7" l="1"/>
  <c r="K88" i="7" s="1"/>
  <c r="K44" i="7"/>
  <c r="K14" i="7"/>
  <c r="K16" i="7" s="1"/>
  <c r="K18" i="7" s="1"/>
  <c r="K19" i="7" s="1"/>
  <c r="O86" i="7"/>
  <c r="O88" i="7" s="1"/>
  <c r="E86" i="7"/>
  <c r="E88" i="7" s="1"/>
  <c r="Q72" i="7"/>
  <c r="Q73" i="7" s="1"/>
  <c r="K71" i="7"/>
  <c r="G30" i="7"/>
  <c r="G31" i="7" s="1"/>
  <c r="G33" i="7" s="1"/>
  <c r="G34" i="7" s="1"/>
  <c r="Q86" i="7"/>
  <c r="Q88" i="7" s="1"/>
  <c r="I71" i="7"/>
  <c r="G71" i="7"/>
  <c r="G73" i="7" s="1"/>
  <c r="G75" i="7" s="1"/>
  <c r="K72" i="7"/>
  <c r="K73" i="7" s="1"/>
  <c r="I72" i="7"/>
  <c r="E72" i="7"/>
  <c r="Q43" i="7"/>
  <c r="O72" i="7"/>
  <c r="O73" i="7" s="1"/>
  <c r="M72" i="7"/>
  <c r="M73" i="7" s="1"/>
  <c r="M86" i="7"/>
  <c r="M88" i="7" s="1"/>
  <c r="G86" i="7"/>
  <c r="G88" i="7" s="1"/>
  <c r="G89" i="7" s="1"/>
  <c r="E71" i="7"/>
  <c r="I86" i="7"/>
  <c r="I88" i="7" s="1"/>
  <c r="I43" i="7"/>
  <c r="I45" i="7" s="1"/>
  <c r="I47" i="7" s="1"/>
  <c r="I48" i="7" s="1"/>
  <c r="G43" i="7"/>
  <c r="G13" i="7"/>
  <c r="G16" i="7" s="1"/>
  <c r="G18" i="7" s="1"/>
  <c r="M43" i="7"/>
  <c r="K45" i="7"/>
  <c r="K47" i="7" s="1"/>
  <c r="O43" i="7"/>
  <c r="E43" i="7"/>
  <c r="O13" i="7"/>
  <c r="M13" i="7"/>
  <c r="E44" i="7"/>
  <c r="Q14" i="7"/>
  <c r="Q16" i="7" s="1"/>
  <c r="Q18" i="7" s="1"/>
  <c r="O14" i="7"/>
  <c r="M29" i="7"/>
  <c r="M31" i="7" s="1"/>
  <c r="E13" i="7"/>
  <c r="Q29" i="7"/>
  <c r="O30" i="7"/>
  <c r="O31" i="7" s="1"/>
  <c r="O33" i="7" s="1"/>
  <c r="M14" i="7"/>
  <c r="I14" i="7"/>
  <c r="I13" i="7"/>
  <c r="I29" i="7"/>
  <c r="K30" i="7"/>
  <c r="E14" i="7"/>
  <c r="E30" i="7"/>
  <c r="Q30" i="7"/>
  <c r="I30" i="7"/>
  <c r="K29" i="7"/>
  <c r="Q45" i="7" l="1"/>
  <c r="Q47" i="7" s="1"/>
  <c r="Q48" i="7" s="1"/>
  <c r="G45" i="7"/>
  <c r="G47" i="7" s="1"/>
  <c r="Q75" i="7"/>
  <c r="Q76" i="7" s="1"/>
  <c r="M16" i="7"/>
  <c r="M18" i="7" s="1"/>
  <c r="M19" i="7" s="1"/>
  <c r="O45" i="7"/>
  <c r="O47" i="7" s="1"/>
  <c r="I73" i="7"/>
  <c r="I75" i="7" s="1"/>
  <c r="M75" i="7"/>
  <c r="M76" i="7" s="1"/>
  <c r="O75" i="7"/>
  <c r="O76" i="7" s="1"/>
  <c r="K75" i="7"/>
  <c r="K76" i="7" s="1"/>
  <c r="E73" i="7"/>
  <c r="E75" i="7" s="1"/>
  <c r="E76" i="7" s="1"/>
  <c r="M45" i="7"/>
  <c r="M47" i="7" s="1"/>
  <c r="I16" i="7"/>
  <c r="I18" i="7" s="1"/>
  <c r="I19" i="7" s="1"/>
  <c r="E16" i="7"/>
  <c r="E18" i="7" s="1"/>
  <c r="O16" i="7"/>
  <c r="O18" i="7" s="1"/>
  <c r="E45" i="7"/>
  <c r="E47" i="7" s="1"/>
  <c r="E48" i="7" s="1"/>
  <c r="M33" i="7"/>
  <c r="I31" i="7"/>
  <c r="I33" i="7" s="1"/>
  <c r="I34" i="7" s="1"/>
  <c r="Q31" i="7"/>
  <c r="G48" i="7"/>
  <c r="Q33" i="7"/>
  <c r="E31" i="7"/>
  <c r="E33" i="7" s="1"/>
  <c r="E34" i="7" s="1"/>
  <c r="K31" i="7"/>
  <c r="K33" i="7" s="1"/>
  <c r="K34" i="7" s="1"/>
  <c r="G19" i="7"/>
  <c r="I89" i="7"/>
  <c r="Q89" i="7"/>
  <c r="E89" i="7"/>
  <c r="M89" i="7"/>
  <c r="O89" i="7"/>
  <c r="G76" i="7"/>
  <c r="O34" i="7"/>
  <c r="G106" i="7" l="1"/>
  <c r="G102" i="7"/>
  <c r="G104" i="7"/>
  <c r="K89" i="7"/>
  <c r="K48" i="7"/>
  <c r="K106" i="7" s="1"/>
  <c r="O19" i="7"/>
  <c r="I76" i="7"/>
  <c r="I106" i="7" s="1"/>
  <c r="E19" i="7"/>
  <c r="E106" i="7" s="1"/>
  <c r="M48" i="7"/>
  <c r="Q34" i="7"/>
  <c r="O48" i="7"/>
  <c r="M34" i="7"/>
  <c r="M106" i="7" l="1"/>
  <c r="O106" i="7"/>
  <c r="G107" i="7"/>
  <c r="G109" i="7" s="1"/>
  <c r="G111" i="7" s="1"/>
  <c r="E102" i="7"/>
  <c r="E104" i="7"/>
  <c r="O102" i="7"/>
  <c r="O104" i="7"/>
  <c r="M102" i="7"/>
  <c r="I102" i="7"/>
  <c r="K102" i="7"/>
  <c r="K104" i="7"/>
  <c r="M104" i="7"/>
  <c r="I104" i="7"/>
  <c r="Q19" i="7"/>
  <c r="Q106" i="7" s="1"/>
  <c r="O107" i="7" l="1"/>
  <c r="O109" i="7" s="1"/>
  <c r="O111" i="7" s="1"/>
  <c r="K107" i="7"/>
  <c r="K109" i="7" s="1"/>
  <c r="K111" i="7" s="1"/>
  <c r="I107" i="7"/>
  <c r="I109" i="7" s="1"/>
  <c r="I111" i="7" s="1"/>
  <c r="M107" i="7"/>
  <c r="M109" i="7" s="1"/>
  <c r="M111" i="7" s="1"/>
  <c r="E107" i="7"/>
  <c r="E109" i="7" s="1"/>
  <c r="E111" i="7" s="1"/>
  <c r="Q102" i="7"/>
  <c r="Q104" i="7"/>
  <c r="Q107" i="7" l="1"/>
  <c r="Q109" i="7" s="1"/>
  <c r="Q111" i="7" s="1"/>
</calcChain>
</file>

<file path=xl/sharedStrings.xml><?xml version="1.0" encoding="utf-8"?>
<sst xmlns="http://schemas.openxmlformats.org/spreadsheetml/2006/main" count="809" uniqueCount="72">
  <si>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</si>
  <si>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</si>
  <si>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</si>
  <si>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</si>
  <si>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</si>
  <si>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</si>
  <si>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ФЗП, руб.</t>
  </si>
  <si>
    <t>Младший воспитатель</t>
  </si>
  <si>
    <t>12 часов-1 ясельная группа</t>
  </si>
  <si>
    <t>12 часов-1 дошкольная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</si>
  <si>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</si>
  <si>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</si>
  <si>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</si>
  <si>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</si>
  <si>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</si>
  <si>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</si>
  <si>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</si>
  <si>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</si>
  <si>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</si>
  <si>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</si>
  <si>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</si>
  <si>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</si>
  <si>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</si>
  <si>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</si>
  <si>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</si>
  <si>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</si>
  <si>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</si>
  <si>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9 часов-1 дошкольная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</si>
  <si>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</si>
  <si>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</si>
  <si>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</si>
  <si>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</si>
  <si>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</si>
  <si>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</si>
  <si>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</si>
  <si>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</si>
  <si>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</si>
  <si>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</si>
  <si>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</si>
  <si>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</si>
  <si>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</si>
  <si>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</si>
  <si>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</si>
  <si>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Отраслевые  корректирующие коэффициенты затрат, непосредственно связанных с оказанием муниципальной услуиг, учитывающие режим работы дошкольных образовательных организаций и специфику работы</t>
  </si>
  <si>
    <t>Приложение №13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</si>
  <si>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</si>
  <si>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</si>
  <si>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</si>
  <si>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</si>
  <si>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</si>
  <si>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</si>
  <si>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</si>
  <si>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</si>
  <si>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</si>
  <si>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</si>
  <si>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</si>
  <si>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</si>
  <si>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</si>
  <si>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</si>
  <si>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</si>
  <si>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</si>
  <si>
    <t>Надбавка за качество работы (40,0 % от ФЗП по ставкам заработной платы)</t>
  </si>
  <si>
    <t>Надбавка за качество работы (40,0 % от ФЗП по должностным окладам)</t>
  </si>
  <si>
    <t>10 часов-1 дошкольная группа компенсирующей направленности</t>
  </si>
  <si>
    <t>12 часов-1 дошкольная группа компенсирующей направленности</t>
  </si>
  <si>
    <t>к приказу Отдела образования от 29.12.2018 №932</t>
  </si>
  <si>
    <t>2019 год -город -реализация основных общеобразовательных и адаптированных основных общеобразовательных  программ дошкольного образования</t>
  </si>
  <si>
    <t>2019 год -село -реализация основных общеобразовательных и адаптированных основных общеобразовательных  программ дошкольного образования</t>
  </si>
  <si>
    <t>2020 год -город -реализация основных общеобразовательных и адаптированных основных общеобразовательных  программ дошкольного образования</t>
  </si>
  <si>
    <t>2020 год -село -реализация основных общеобразовательных и адаптированных основных общеобразовательных  программ дошкольного образования</t>
  </si>
  <si>
    <t>2021 год -город -реализация основных общеобразовательных и адаптированных основных общеобразовательных  программ дошкольного образования</t>
  </si>
  <si>
    <t>2021 год -село -реализация основных общеобразовательных и адаптированных основных общеобразовательных  программ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</si>
</sst>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view="pageBreakPreview" zoomScale="75" zoomScaleNormal="81" zoomScaleSheetLayoutView="75" workbookViewId="0">
      <pane xSplit="3" ySplit="4" topLeftCell="D116" activePane="bottomRight" state="frozen"/>
      <selection pane="topRight" activeCell="D1" sqref="D1"/>
      <selection pane="bottomLeft" activeCell="A5" sqref="A5"/>
      <selection pane="bottomRight" activeCell="D3" sqref="D3:E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6" style="1" customWidth="1"/>
    <col min="6" max="6" width="14.5703125" style="1" customWidth="1"/>
    <col min="7" max="7" width="12.85546875" style="1" customWidth="1"/>
    <col min="8" max="8" width="14.85546875" style="1" customWidth="1"/>
    <col min="9" max="9" width="15.140625" style="1" customWidth="1"/>
    <col min="10" max="10" width="12" style="1" customWidth="1"/>
    <col min="11" max="11" width="17.7109375" style="1" customWidth="1"/>
    <col min="12" max="12" width="13.42578125" style="1" customWidth="1"/>
    <col min="13" max="13" width="15.7109375" style="19" customWidth="1"/>
    <col min="14" max="14" width="14.85546875" style="19" customWidth="1"/>
    <col min="15" max="15" width="15.7109375" style="19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46.5" customHeight="1" x14ac:dyDescent="0.25">
      <c r="A2" s="74" t="s">
        <v>2</v>
      </c>
      <c r="B2" s="74" t="s">
        <v>0</v>
      </c>
      <c r="C2" s="74" t="s">
        <v>1</v>
      </c>
      <c r="D2" s="71" t="s">
        <v>67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2" customFormat="1" ht="51" customHeight="1" x14ac:dyDescent="0.25">
      <c r="A3" s="75"/>
      <c r="B3" s="75"/>
      <c r="C3" s="75"/>
      <c r="D3" s="67" t="s">
        <v>27</v>
      </c>
      <c r="E3" s="67"/>
      <c r="F3" s="67" t="s">
        <v>26</v>
      </c>
      <c r="G3" s="67"/>
      <c r="H3" s="71" t="s">
        <v>19</v>
      </c>
      <c r="I3" s="73"/>
      <c r="J3" s="65" t="s">
        <v>63</v>
      </c>
      <c r="K3" s="66"/>
      <c r="L3" s="67" t="s">
        <v>8</v>
      </c>
      <c r="M3" s="67"/>
      <c r="N3" s="65" t="s">
        <v>9</v>
      </c>
      <c r="O3" s="66"/>
      <c r="P3" s="65" t="s">
        <v>64</v>
      </c>
      <c r="Q3" s="66"/>
    </row>
    <row r="4" spans="1:17" ht="48.75" customHeight="1" x14ac:dyDescent="0.25">
      <c r="A4" s="76"/>
      <c r="B4" s="76"/>
      <c r="C4" s="76"/>
      <c r="D4" s="9" t="s">
        <v>5</v>
      </c>
      <c r="E4" s="8" t="s">
        <v>6</v>
      </c>
      <c r="F4" s="46" t="s">
        <v>5</v>
      </c>
      <c r="G4" s="45" t="s">
        <v>6</v>
      </c>
      <c r="H4" s="9" t="s">
        <v>5</v>
      </c>
      <c r="I4" s="8" t="s">
        <v>6</v>
      </c>
      <c r="J4" s="46" t="s">
        <v>5</v>
      </c>
      <c r="K4" s="45" t="s">
        <v>6</v>
      </c>
      <c r="L4" s="9" t="s">
        <v>5</v>
      </c>
      <c r="M4" s="14" t="s">
        <v>6</v>
      </c>
      <c r="N4" s="13" t="s">
        <v>5</v>
      </c>
      <c r="O4" s="14" t="s">
        <v>6</v>
      </c>
      <c r="P4" s="8" t="s">
        <v>5</v>
      </c>
      <c r="Q4" s="8" t="s">
        <v>6</v>
      </c>
    </row>
    <row r="5" spans="1:17" ht="45" x14ac:dyDescent="0.25">
      <c r="A5" s="3">
        <v>1</v>
      </c>
      <c r="B5" s="4" t="s">
        <v>3</v>
      </c>
      <c r="C5" s="6" t="s">
        <v>37</v>
      </c>
      <c r="D5" s="7">
        <v>1.25</v>
      </c>
      <c r="E5" s="7">
        <f>ROUND(8216*D5*1.01075,2)</f>
        <v>10380.4</v>
      </c>
      <c r="F5" s="7">
        <v>1.39</v>
      </c>
      <c r="G5" s="7">
        <f>ROUND(8216*F5*1.01075,2)</f>
        <v>11543.01</v>
      </c>
      <c r="H5" s="7">
        <v>1.39</v>
      </c>
      <c r="I5" s="7">
        <f>ROUND(8216*H5*1.01075,2)</f>
        <v>11543.01</v>
      </c>
      <c r="J5" s="15">
        <v>2</v>
      </c>
      <c r="K5" s="7">
        <f>ROUND(8216*J5*1.01075,2)</f>
        <v>16608.64</v>
      </c>
      <c r="L5" s="15">
        <v>2</v>
      </c>
      <c r="M5" s="7">
        <f>ROUND(8216*L5*1.01075,2)</f>
        <v>16608.64</v>
      </c>
      <c r="N5" s="15">
        <v>2</v>
      </c>
      <c r="O5" s="7">
        <f>ROUND(8216*N5*1.01075,2)</f>
        <v>16608.64</v>
      </c>
      <c r="P5" s="15">
        <v>2.4</v>
      </c>
      <c r="Q5" s="7">
        <f>ROUND(8216*P5*1.01075,2)</f>
        <v>19930.37</v>
      </c>
    </row>
    <row r="6" spans="1:17" ht="57.75" customHeight="1" x14ac:dyDescent="0.25">
      <c r="A6" s="3"/>
      <c r="B6" s="4"/>
      <c r="C6" s="6" t="s">
        <v>46</v>
      </c>
      <c r="D6" s="7"/>
      <c r="E6" s="7">
        <f>ROUND(E5*0.3,2)</f>
        <v>3114.12</v>
      </c>
      <c r="F6" s="7"/>
      <c r="G6" s="7">
        <f>ROUND(G5*0.3,2)</f>
        <v>3462.9</v>
      </c>
      <c r="H6" s="7"/>
      <c r="I6" s="7">
        <f>ROUND(I5*0.3,2)</f>
        <v>3462.9</v>
      </c>
      <c r="J6" s="15"/>
      <c r="K6" s="7">
        <f>ROUND(K5*0.3,2)</f>
        <v>4982.59</v>
      </c>
      <c r="L6" s="15"/>
      <c r="M6" s="15">
        <f>ROUND(M5*0.3,2)</f>
        <v>4982.59</v>
      </c>
      <c r="N6" s="15"/>
      <c r="O6" s="15">
        <f>ROUND(O5*0.3,2)</f>
        <v>4982.59</v>
      </c>
      <c r="P6" s="15"/>
      <c r="Q6" s="7">
        <f>ROUND(Q5*0.3,2)</f>
        <v>5979.11</v>
      </c>
    </row>
    <row r="7" spans="1:17" ht="48" customHeight="1" x14ac:dyDescent="0.25">
      <c r="A7" s="3"/>
      <c r="B7" s="4"/>
      <c r="C7" s="6" t="s">
        <v>45</v>
      </c>
      <c r="D7" s="7"/>
      <c r="E7" s="7"/>
      <c r="F7" s="7"/>
      <c r="G7" s="7"/>
      <c r="H7" s="7"/>
      <c r="I7" s="7"/>
      <c r="J7" s="15"/>
      <c r="K7" s="7">
        <f>ROUND((K5+K6)*0.2,2)</f>
        <v>4318.25</v>
      </c>
      <c r="L7" s="15"/>
      <c r="M7" s="15"/>
      <c r="N7" s="15"/>
      <c r="O7" s="15"/>
      <c r="P7" s="15"/>
      <c r="Q7" s="7">
        <f>ROUND((Q5+Q6)*0.2,2)</f>
        <v>5181.8999999999996</v>
      </c>
    </row>
    <row r="8" spans="1:17" ht="60" customHeight="1" x14ac:dyDescent="0.25">
      <c r="A8" s="4"/>
      <c r="B8" s="4"/>
      <c r="C8" s="6" t="s">
        <v>47</v>
      </c>
      <c r="D8" s="4"/>
      <c r="E8" s="7">
        <f>ROUND((E5+E6)*0.3,2)</f>
        <v>4048.36</v>
      </c>
      <c r="F8" s="5"/>
      <c r="G8" s="7">
        <f>ROUND((G5+G6)*0.3,2)</f>
        <v>4501.7700000000004</v>
      </c>
      <c r="H8" s="5"/>
      <c r="I8" s="7">
        <f>ROUND((I5+I6)*0.3,2)</f>
        <v>4501.7700000000004</v>
      </c>
      <c r="J8" s="16"/>
      <c r="K8" s="7">
        <f>ROUND((K5+K6)*0.3,2)</f>
        <v>6477.37</v>
      </c>
      <c r="L8" s="16"/>
      <c r="M8" s="15">
        <f>ROUND((M5+M6)*0.3,2)</f>
        <v>6477.37</v>
      </c>
      <c r="N8" s="16"/>
      <c r="O8" s="15">
        <f>ROUND((O5+O6)*0.3,2)</f>
        <v>6477.37</v>
      </c>
      <c r="P8" s="16"/>
      <c r="Q8" s="7">
        <f>ROUND((Q5+Q6)*0.3,2)</f>
        <v>7772.84</v>
      </c>
    </row>
    <row r="9" spans="1:17" ht="51.75" customHeight="1" x14ac:dyDescent="0.25">
      <c r="A9" s="4"/>
      <c r="B9" s="4"/>
      <c r="C9" s="6" t="s">
        <v>56</v>
      </c>
      <c r="D9" s="3"/>
      <c r="E9" s="7">
        <f t="shared" ref="E9" si="0">ROUND(E5*0.25,2)</f>
        <v>2595.1</v>
      </c>
      <c r="F9" s="7"/>
      <c r="G9" s="7">
        <f t="shared" ref="G9" si="1">ROUND(G5*0.25,2)</f>
        <v>2885.75</v>
      </c>
      <c r="H9" s="7"/>
      <c r="I9" s="7">
        <f>ROUND(I5*0.25,2)</f>
        <v>2885.75</v>
      </c>
      <c r="J9" s="7"/>
      <c r="K9" s="7">
        <f t="shared" ref="K9:O9" si="2">ROUND(K5*0.25,2)</f>
        <v>4152.16</v>
      </c>
      <c r="L9" s="7"/>
      <c r="M9" s="15">
        <f t="shared" si="2"/>
        <v>4152.16</v>
      </c>
      <c r="N9" s="15"/>
      <c r="O9" s="15">
        <f t="shared" si="2"/>
        <v>4152.16</v>
      </c>
      <c r="P9" s="7"/>
      <c r="Q9" s="7">
        <f t="shared" ref="Q9" si="3">ROUND(Q5*0.25,2)</f>
        <v>4982.59</v>
      </c>
    </row>
    <row r="10" spans="1:17" ht="46.5" customHeight="1" x14ac:dyDescent="0.25">
      <c r="A10" s="4"/>
      <c r="B10" s="4"/>
      <c r="C10" s="6" t="s">
        <v>11</v>
      </c>
      <c r="D10" s="4"/>
      <c r="E10" s="7">
        <f>ROUND((E5+E6)*0.05,2)</f>
        <v>674.73</v>
      </c>
      <c r="F10" s="7"/>
      <c r="G10" s="7">
        <f t="shared" ref="G10:Q10" si="4">ROUND((G5+G6)*0.05,2)</f>
        <v>750.3</v>
      </c>
      <c r="H10" s="7"/>
      <c r="I10" s="7">
        <f t="shared" si="4"/>
        <v>750.3</v>
      </c>
      <c r="J10" s="7"/>
      <c r="K10" s="7">
        <f t="shared" si="4"/>
        <v>1079.56</v>
      </c>
      <c r="L10" s="7"/>
      <c r="M10" s="7">
        <f t="shared" si="4"/>
        <v>1079.56</v>
      </c>
      <c r="N10" s="7"/>
      <c r="O10" s="7">
        <f t="shared" si="4"/>
        <v>1079.56</v>
      </c>
      <c r="P10" s="7"/>
      <c r="Q10" s="7">
        <f t="shared" si="4"/>
        <v>1295.47</v>
      </c>
    </row>
    <row r="11" spans="1:17" ht="61.5" customHeight="1" x14ac:dyDescent="0.25">
      <c r="A11" s="4"/>
      <c r="B11" s="4"/>
      <c r="C11" s="6" t="s">
        <v>48</v>
      </c>
      <c r="D11" s="4"/>
      <c r="E11" s="7">
        <f>ROUND(E5*0.4,2)</f>
        <v>4152.16</v>
      </c>
      <c r="F11" s="7"/>
      <c r="G11" s="7">
        <f t="shared" ref="G11:Q11" si="5">ROUND(G5*0.4,2)</f>
        <v>4617.2</v>
      </c>
      <c r="H11" s="7"/>
      <c r="I11" s="7">
        <f t="shared" si="5"/>
        <v>4617.2</v>
      </c>
      <c r="J11" s="7"/>
      <c r="K11" s="7">
        <f t="shared" si="5"/>
        <v>6643.46</v>
      </c>
      <c r="L11" s="7"/>
      <c r="M11" s="7">
        <f t="shared" si="5"/>
        <v>6643.46</v>
      </c>
      <c r="N11" s="7"/>
      <c r="O11" s="7">
        <f t="shared" si="5"/>
        <v>6643.46</v>
      </c>
      <c r="P11" s="7"/>
      <c r="Q11" s="7">
        <f t="shared" si="5"/>
        <v>7972.15</v>
      </c>
    </row>
    <row r="12" spans="1:17" ht="39.75" customHeight="1" x14ac:dyDescent="0.25">
      <c r="A12" s="4"/>
      <c r="B12" s="4"/>
      <c r="C12" s="6" t="s">
        <v>61</v>
      </c>
      <c r="D12" s="4"/>
      <c r="E12" s="7">
        <f>ROUND(E5*0.4,2)</f>
        <v>4152.16</v>
      </c>
      <c r="F12" s="7"/>
      <c r="G12" s="7">
        <f>ROUND(G5*0.4,2)</f>
        <v>4617.2</v>
      </c>
      <c r="H12" s="7"/>
      <c r="I12" s="7">
        <f>ROUND(I5*0.4,2)</f>
        <v>4617.2</v>
      </c>
      <c r="J12" s="7"/>
      <c r="K12" s="7">
        <f>ROUND(K5*0.4,2)</f>
        <v>6643.46</v>
      </c>
      <c r="L12" s="7"/>
      <c r="M12" s="7">
        <f>ROUND(M5*0.4,2)</f>
        <v>6643.46</v>
      </c>
      <c r="N12" s="7"/>
      <c r="O12" s="7">
        <f>ROUND(O5*0.4,2)</f>
        <v>6643.46</v>
      </c>
      <c r="P12" s="7"/>
      <c r="Q12" s="7">
        <f>ROUND(Q5*0.4,2)</f>
        <v>7972.15</v>
      </c>
    </row>
    <row r="13" spans="1:17" ht="28.5" customHeight="1" x14ac:dyDescent="0.25">
      <c r="A13" s="4"/>
      <c r="B13" s="4"/>
      <c r="C13" s="4" t="s">
        <v>12</v>
      </c>
      <c r="D13" s="4"/>
      <c r="E13" s="7">
        <f>ROUND((E5+E6+E7+E8+E9+E10+E11+E12)*0.05,2)</f>
        <v>1455.85</v>
      </c>
      <c r="F13" s="7"/>
      <c r="G13" s="7">
        <f t="shared" ref="G13:Q13" si="6">ROUND((G5+G6+G7+G8+G9+G10+G11+G12)*0.05,2)</f>
        <v>1618.91</v>
      </c>
      <c r="H13" s="7"/>
      <c r="I13" s="7">
        <f t="shared" si="6"/>
        <v>1618.91</v>
      </c>
      <c r="J13" s="7"/>
      <c r="K13" s="7">
        <f>ROUND((K5+K6+K7+K8+K9+K10+K11+K12)*0.05,2)</f>
        <v>2545.27</v>
      </c>
      <c r="L13" s="7"/>
      <c r="M13" s="7">
        <f t="shared" si="6"/>
        <v>2329.36</v>
      </c>
      <c r="N13" s="7"/>
      <c r="O13" s="7">
        <f t="shared" si="6"/>
        <v>2329.36</v>
      </c>
      <c r="P13" s="7"/>
      <c r="Q13" s="7">
        <f t="shared" si="6"/>
        <v>3054.33</v>
      </c>
    </row>
    <row r="14" spans="1:17" ht="24.75" customHeight="1" x14ac:dyDescent="0.25">
      <c r="A14" s="4"/>
      <c r="B14" s="4"/>
      <c r="C14" s="4" t="s">
        <v>13</v>
      </c>
      <c r="D14" s="4"/>
      <c r="E14" s="3">
        <f>ROUND((E5+E6+E7+E8+E9+E10+E11+E12)*0.01,2)</f>
        <v>291.17</v>
      </c>
      <c r="F14" s="3"/>
      <c r="G14" s="3">
        <f t="shared" ref="G14:Q14" si="7">ROUND((G5+G6+G7+G8+G9+G10+G11+G12)*0.01,2)</f>
        <v>323.77999999999997</v>
      </c>
      <c r="H14" s="3"/>
      <c r="I14" s="3">
        <f t="shared" si="7"/>
        <v>323.77999999999997</v>
      </c>
      <c r="J14" s="3"/>
      <c r="K14" s="3">
        <f>ROUND((K5+K6+K7+K8+K9+K10+K11+K12)*0.01,2)</f>
        <v>509.05</v>
      </c>
      <c r="L14" s="3"/>
      <c r="M14" s="3">
        <f t="shared" si="7"/>
        <v>465.87</v>
      </c>
      <c r="N14" s="3"/>
      <c r="O14" s="3">
        <f t="shared" si="7"/>
        <v>465.87</v>
      </c>
      <c r="P14" s="3"/>
      <c r="Q14" s="3">
        <f t="shared" si="7"/>
        <v>610.87</v>
      </c>
    </row>
    <row r="15" spans="1:17" ht="24.75" customHeight="1" x14ac:dyDescent="0.25">
      <c r="A15" s="4"/>
      <c r="B15" s="4"/>
      <c r="C15" s="4" t="s">
        <v>33</v>
      </c>
      <c r="D15" s="4"/>
      <c r="E15" s="7">
        <f>ROUND(23687.14/29.3*42/12*D5,2)</f>
        <v>3536.9</v>
      </c>
      <c r="F15" s="7"/>
      <c r="G15" s="7">
        <f>ROUND(23687.14/29.3*42/12*F5,2)</f>
        <v>3933.04</v>
      </c>
      <c r="H15" s="7"/>
      <c r="I15" s="7">
        <f>ROUND(23687.14/29.3*42/12*H5,2)</f>
        <v>3933.04</v>
      </c>
      <c r="J15" s="7"/>
      <c r="K15" s="7">
        <f>ROUND(23687.14/29.3*56/12*J5,2)</f>
        <v>7545.39</v>
      </c>
      <c r="L15" s="7"/>
      <c r="M15" s="7">
        <f>ROUND(23687.14/29.3*42/12*L5,2)</f>
        <v>5659.04</v>
      </c>
      <c r="N15" s="7"/>
      <c r="O15" s="7">
        <f>ROUND(23687.14/29.3*42/12*N5,2)</f>
        <v>5659.04</v>
      </c>
      <c r="P15" s="7"/>
      <c r="Q15" s="7">
        <f>ROUND(23687.14/29.3*56/12*P5,2)</f>
        <v>9054.4699999999993</v>
      </c>
    </row>
    <row r="16" spans="1:17" ht="39" customHeight="1" x14ac:dyDescent="0.25">
      <c r="A16" s="4"/>
      <c r="B16" s="4"/>
      <c r="C16" s="6" t="s">
        <v>14</v>
      </c>
      <c r="D16" s="4"/>
      <c r="E16" s="11">
        <f>ROUND((E5+E6+E7+E8+E9+E10+E11+E13+E14+E15+E12)*0.302,2)</f>
        <v>10389.09</v>
      </c>
      <c r="F16" s="11"/>
      <c r="G16" s="11">
        <f t="shared" ref="G16:Q16" si="8">ROUND((G5+G6+G7+G8+G9+G10+G11+G13+G14+G15+G12)*0.302,2)</f>
        <v>11552.67</v>
      </c>
      <c r="H16" s="11"/>
      <c r="I16" s="11">
        <f t="shared" si="8"/>
        <v>11552.67</v>
      </c>
      <c r="J16" s="11"/>
      <c r="K16" s="11">
        <f>ROUND((K5+K6+K7+K8+K9+K10+K11+K13+K14+K15+K12)*0.302,2)</f>
        <v>18574.57</v>
      </c>
      <c r="L16" s="11"/>
      <c r="M16" s="11">
        <f t="shared" si="8"/>
        <v>16622.54</v>
      </c>
      <c r="N16" s="11"/>
      <c r="O16" s="11">
        <f t="shared" si="8"/>
        <v>16622.54</v>
      </c>
      <c r="P16" s="11"/>
      <c r="Q16" s="11">
        <f t="shared" si="8"/>
        <v>22289.49</v>
      </c>
    </row>
    <row r="17" spans="1:17" ht="36" customHeight="1" x14ac:dyDescent="0.25">
      <c r="A17" s="4"/>
      <c r="B17" s="4"/>
      <c r="C17" s="6" t="s">
        <v>17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0" t="s">
        <v>15</v>
      </c>
      <c r="D18" s="4"/>
      <c r="E18" s="7">
        <f>E5+E6+E7+E8+E9+E10+E11+E13+E14+E16+E15+E12</f>
        <v>44790.039999999994</v>
      </c>
      <c r="F18" s="7"/>
      <c r="G18" s="7">
        <f t="shared" ref="G18:Q18" si="9">G5+G6+G7+G8+G9+G10+G11+G13+G14+G16+G15+G12</f>
        <v>49806.53</v>
      </c>
      <c r="H18" s="7"/>
      <c r="I18" s="7">
        <f t="shared" si="9"/>
        <v>49806.53</v>
      </c>
      <c r="J18" s="7"/>
      <c r="K18" s="7">
        <f>K5+K6+K7+K8+K9+K10+K11+K13+K14+K16+K15+K12</f>
        <v>80079.76999999999</v>
      </c>
      <c r="L18" s="7"/>
      <c r="M18" s="7">
        <f t="shared" si="9"/>
        <v>71664.05</v>
      </c>
      <c r="N18" s="7"/>
      <c r="O18" s="7">
        <f t="shared" si="9"/>
        <v>71664.05</v>
      </c>
      <c r="P18" s="7"/>
      <c r="Q18" s="7">
        <f t="shared" si="9"/>
        <v>96095.74</v>
      </c>
    </row>
    <row r="19" spans="1:17" ht="24.75" customHeight="1" x14ac:dyDescent="0.25">
      <c r="A19" s="4"/>
      <c r="B19" s="4"/>
      <c r="C19" s="10" t="s">
        <v>16</v>
      </c>
      <c r="D19" s="4"/>
      <c r="E19" s="7">
        <f>ROUND(E18*12,2)</f>
        <v>537480.48</v>
      </c>
      <c r="F19" s="5"/>
      <c r="G19" s="7">
        <f>ROUND(G18*12,2)</f>
        <v>597678.36</v>
      </c>
      <c r="H19" s="5"/>
      <c r="I19" s="7">
        <f>ROUND(I18*12,2)</f>
        <v>597678.36</v>
      </c>
      <c r="J19" s="16"/>
      <c r="K19" s="7">
        <f>ROUND(K18*12,2)</f>
        <v>960957.24</v>
      </c>
      <c r="L19" s="16"/>
      <c r="M19" s="15">
        <f>ROUND(M18*12,2)</f>
        <v>859968.6</v>
      </c>
      <c r="N19" s="16"/>
      <c r="O19" s="15">
        <f>ROUND(O18*12,2)</f>
        <v>859968.6</v>
      </c>
      <c r="P19" s="16"/>
      <c r="Q19" s="7">
        <f>ROUND(Q18*12,2)</f>
        <v>1153148.8799999999</v>
      </c>
    </row>
    <row r="20" spans="1:17" x14ac:dyDescent="0.25">
      <c r="A20" s="4"/>
      <c r="B20" s="4"/>
      <c r="C20" s="4"/>
      <c r="D20" s="4"/>
      <c r="E20" s="4"/>
      <c r="F20" s="4"/>
      <c r="G20" s="22"/>
      <c r="H20" s="4"/>
      <c r="I20" s="22"/>
      <c r="J20" s="17"/>
      <c r="K20" s="23"/>
      <c r="L20" s="17"/>
      <c r="M20" s="23"/>
      <c r="N20" s="17"/>
      <c r="O20" s="23"/>
      <c r="P20" s="17"/>
      <c r="Q20" s="23"/>
    </row>
    <row r="21" spans="1:17" ht="45" x14ac:dyDescent="0.25">
      <c r="A21" s="3">
        <v>2</v>
      </c>
      <c r="B21" s="6" t="s">
        <v>4</v>
      </c>
      <c r="C21" s="6" t="s">
        <v>37</v>
      </c>
      <c r="D21" s="3">
        <v>0.25</v>
      </c>
      <c r="E21" s="7">
        <f>ROUND(7471*D21*1.01075,2)</f>
        <v>1887.83</v>
      </c>
      <c r="F21" s="7">
        <v>0.25</v>
      </c>
      <c r="G21" s="7">
        <f>ROUND(7471*F21*1.01075,2)</f>
        <v>1887.83</v>
      </c>
      <c r="H21" s="3">
        <v>0.25</v>
      </c>
      <c r="I21" s="7">
        <f>ROUND(7471*H21*1.01075,2)</f>
        <v>1887.83</v>
      </c>
      <c r="J21" s="18">
        <v>0.25</v>
      </c>
      <c r="K21" s="7">
        <f>ROUND(7471*J21*1.01075,2)</f>
        <v>1887.83</v>
      </c>
      <c r="L21" s="18">
        <v>0.25</v>
      </c>
      <c r="M21" s="7">
        <f>ROUND(7471*L21*1.01075,2)</f>
        <v>1887.83</v>
      </c>
      <c r="N21" s="18">
        <v>0.25</v>
      </c>
      <c r="O21" s="7">
        <f>ROUND(7471*N21*1.01075,2)</f>
        <v>1887.83</v>
      </c>
      <c r="P21" s="18">
        <v>0.25</v>
      </c>
      <c r="Q21" s="7">
        <f>ROUND(7471*P21*1.01075,2)</f>
        <v>1887.83</v>
      </c>
    </row>
    <row r="22" spans="1:17" ht="45" x14ac:dyDescent="0.25">
      <c r="A22" s="4"/>
      <c r="B22" s="4"/>
      <c r="C22" s="6" t="s">
        <v>46</v>
      </c>
      <c r="D22" s="4"/>
      <c r="E22" s="7">
        <f>ROUND(E21*0.3,2)</f>
        <v>566.35</v>
      </c>
      <c r="F22" s="5"/>
      <c r="G22" s="7">
        <f>ROUND(G21*0.3,2)</f>
        <v>566.35</v>
      </c>
      <c r="H22" s="4"/>
      <c r="I22" s="7">
        <f>ROUND(I21*0.3,2)</f>
        <v>566.35</v>
      </c>
      <c r="J22" s="17"/>
      <c r="K22" s="7">
        <f>ROUND(K21*0.3,2)</f>
        <v>566.35</v>
      </c>
      <c r="L22" s="17"/>
      <c r="M22" s="15">
        <f>ROUND(M21*0.3,2)</f>
        <v>566.35</v>
      </c>
      <c r="N22" s="17"/>
      <c r="O22" s="15">
        <f>ROUND(O21*0.3,2)</f>
        <v>566.35</v>
      </c>
      <c r="P22" s="17"/>
      <c r="Q22" s="7">
        <f>ROUND(Q21*0.3,2)</f>
        <v>566.35</v>
      </c>
    </row>
    <row r="23" spans="1:17" ht="45.75" customHeight="1" x14ac:dyDescent="0.25">
      <c r="A23" s="4"/>
      <c r="B23" s="4"/>
      <c r="C23" s="6" t="s">
        <v>45</v>
      </c>
      <c r="D23" s="4"/>
      <c r="E23" s="7"/>
      <c r="F23" s="5"/>
      <c r="G23" s="7"/>
      <c r="H23" s="4"/>
      <c r="I23" s="7"/>
      <c r="J23" s="17"/>
      <c r="K23" s="7">
        <f>ROUND((K21+K22)*0.2,2)</f>
        <v>490.84</v>
      </c>
      <c r="L23" s="17"/>
      <c r="M23" s="15"/>
      <c r="N23" s="17"/>
      <c r="O23" s="15"/>
      <c r="P23" s="17"/>
      <c r="Q23" s="7">
        <f>ROUND((Q21+Q22)*0.2,2)</f>
        <v>490.84</v>
      </c>
    </row>
    <row r="24" spans="1:17" ht="60" x14ac:dyDescent="0.25">
      <c r="A24" s="4"/>
      <c r="B24" s="4"/>
      <c r="C24" s="6" t="s">
        <v>47</v>
      </c>
      <c r="D24" s="4"/>
      <c r="E24" s="7">
        <f>ROUND((E21+E22)*0.3,2)</f>
        <v>736.25</v>
      </c>
      <c r="F24" s="5"/>
      <c r="G24" s="7">
        <f>ROUND((G21+G22)*0.3,2)</f>
        <v>736.25</v>
      </c>
      <c r="H24" s="4"/>
      <c r="I24" s="7">
        <f>ROUND((I21+I22)*0.3,2)</f>
        <v>736.25</v>
      </c>
      <c r="J24" s="17"/>
      <c r="K24" s="7">
        <f>ROUND((K21+K22)*0.3,2)</f>
        <v>736.25</v>
      </c>
      <c r="L24" s="17"/>
      <c r="M24" s="15">
        <f>ROUND((M21+M22)*0.3,2)</f>
        <v>736.25</v>
      </c>
      <c r="N24" s="17"/>
      <c r="O24" s="15">
        <f>ROUND((O21+O22)*0.3,2)</f>
        <v>736.25</v>
      </c>
      <c r="P24" s="17"/>
      <c r="Q24" s="7">
        <f>ROUND((Q21+Q22)*0.3,2)</f>
        <v>736.25</v>
      </c>
    </row>
    <row r="25" spans="1:17" ht="34.5" customHeight="1" x14ac:dyDescent="0.25">
      <c r="A25" s="4"/>
      <c r="B25" s="4"/>
      <c r="C25" s="6" t="s">
        <v>56</v>
      </c>
      <c r="D25" s="4"/>
      <c r="E25" s="7">
        <f>ROUND(E21*0.25,2)</f>
        <v>471.96</v>
      </c>
      <c r="F25" s="5"/>
      <c r="G25" s="7">
        <f>ROUND(G21*0.25,2)</f>
        <v>471.96</v>
      </c>
      <c r="H25" s="4"/>
      <c r="I25" s="7">
        <f>ROUND(I21*0.25,2)</f>
        <v>471.96</v>
      </c>
      <c r="J25" s="17"/>
      <c r="K25" s="7">
        <f t="shared" ref="K25" si="10">ROUND(K21*0.25,2)</f>
        <v>471.96</v>
      </c>
      <c r="L25" s="17"/>
      <c r="M25" s="15">
        <f>ROUND(M21*0.25,2)</f>
        <v>471.96</v>
      </c>
      <c r="N25" s="17"/>
      <c r="O25" s="15">
        <f>ROUND(O21*0.25,2)</f>
        <v>471.96</v>
      </c>
      <c r="P25" s="17"/>
      <c r="Q25" s="7">
        <f t="shared" ref="Q25" si="11">ROUND(Q21*0.25,2)</f>
        <v>471.96</v>
      </c>
    </row>
    <row r="26" spans="1:17" ht="45" x14ac:dyDescent="0.25">
      <c r="A26" s="4"/>
      <c r="B26" s="4"/>
      <c r="C26" s="6" t="s">
        <v>11</v>
      </c>
      <c r="D26" s="4"/>
      <c r="E26" s="7">
        <f>ROUND((E21+E22)*0.05,2)</f>
        <v>122.71</v>
      </c>
      <c r="F26" s="7"/>
      <c r="G26" s="7">
        <f t="shared" ref="G26:Q26" si="12">ROUND((G21+G22)*0.05,2)</f>
        <v>122.71</v>
      </c>
      <c r="H26" s="7"/>
      <c r="I26" s="7">
        <f t="shared" si="12"/>
        <v>122.71</v>
      </c>
      <c r="J26" s="7"/>
      <c r="K26" s="7">
        <f t="shared" si="12"/>
        <v>122.71</v>
      </c>
      <c r="L26" s="7"/>
      <c r="M26" s="7">
        <f t="shared" si="12"/>
        <v>122.71</v>
      </c>
      <c r="N26" s="7"/>
      <c r="O26" s="7">
        <f t="shared" si="12"/>
        <v>122.71</v>
      </c>
      <c r="P26" s="7"/>
      <c r="Q26" s="7">
        <f t="shared" si="12"/>
        <v>122.71</v>
      </c>
    </row>
    <row r="27" spans="1:17" ht="45" x14ac:dyDescent="0.25">
      <c r="A27" s="4"/>
      <c r="B27" s="4"/>
      <c r="C27" s="6" t="s">
        <v>48</v>
      </c>
      <c r="D27" s="4"/>
      <c r="E27" s="7">
        <f>ROUND(E21*0.4,2)</f>
        <v>755.13</v>
      </c>
      <c r="F27" s="7"/>
      <c r="G27" s="7">
        <f t="shared" ref="G27:Q27" si="13">ROUND(G21*0.4,2)</f>
        <v>755.13</v>
      </c>
      <c r="H27" s="7"/>
      <c r="I27" s="7">
        <f t="shared" si="13"/>
        <v>755.13</v>
      </c>
      <c r="J27" s="7"/>
      <c r="K27" s="7">
        <f t="shared" si="13"/>
        <v>755.13</v>
      </c>
      <c r="L27" s="7"/>
      <c r="M27" s="7">
        <f t="shared" si="13"/>
        <v>755.13</v>
      </c>
      <c r="N27" s="7"/>
      <c r="O27" s="7">
        <f t="shared" si="13"/>
        <v>755.13</v>
      </c>
      <c r="P27" s="7"/>
      <c r="Q27" s="7">
        <f t="shared" si="13"/>
        <v>755.13</v>
      </c>
    </row>
    <row r="28" spans="1:17" ht="35.25" customHeight="1" x14ac:dyDescent="0.25">
      <c r="A28" s="4"/>
      <c r="B28" s="4"/>
      <c r="C28" s="6" t="s">
        <v>61</v>
      </c>
      <c r="D28" s="4"/>
      <c r="E28" s="7">
        <f>ROUND(E21*0.4,2)</f>
        <v>755.13</v>
      </c>
      <c r="F28" s="7"/>
      <c r="G28" s="7">
        <f>ROUND(G21*0.4,2)</f>
        <v>755.13</v>
      </c>
      <c r="H28" s="7"/>
      <c r="I28" s="7">
        <f>ROUND(I21*0.4,2)</f>
        <v>755.13</v>
      </c>
      <c r="J28" s="7"/>
      <c r="K28" s="7">
        <f>ROUND(K21*0.4,2)</f>
        <v>755.13</v>
      </c>
      <c r="L28" s="7"/>
      <c r="M28" s="7">
        <f>ROUND(M21*0.4,2)</f>
        <v>755.13</v>
      </c>
      <c r="N28" s="7"/>
      <c r="O28" s="7">
        <f>ROUND(O21*0.4,2)</f>
        <v>755.13</v>
      </c>
      <c r="P28" s="7"/>
      <c r="Q28" s="7">
        <f>ROUND(Q21*0.4,2)</f>
        <v>755.13</v>
      </c>
    </row>
    <row r="29" spans="1:17" x14ac:dyDescent="0.25">
      <c r="A29" s="4"/>
      <c r="B29" s="4"/>
      <c r="C29" s="4" t="s">
        <v>12</v>
      </c>
      <c r="D29" s="4"/>
      <c r="E29" s="7">
        <f>ROUND((E21+E22+E23++E24+E25+E26+E27+E28)*0.05,2)</f>
        <v>264.77</v>
      </c>
      <c r="F29" s="7"/>
      <c r="G29" s="7">
        <f t="shared" ref="G29:Q29" si="14">ROUND((G21+G22+G23++G24+G25+G26+G27+G28)*0.05,2)</f>
        <v>264.77</v>
      </c>
      <c r="H29" s="7"/>
      <c r="I29" s="7">
        <f t="shared" si="14"/>
        <v>264.77</v>
      </c>
      <c r="J29" s="7"/>
      <c r="K29" s="7">
        <f t="shared" si="14"/>
        <v>289.31</v>
      </c>
      <c r="L29" s="7"/>
      <c r="M29" s="7">
        <f t="shared" si="14"/>
        <v>264.77</v>
      </c>
      <c r="N29" s="7"/>
      <c r="O29" s="7">
        <f t="shared" si="14"/>
        <v>264.77</v>
      </c>
      <c r="P29" s="7"/>
      <c r="Q29" s="7">
        <f t="shared" si="14"/>
        <v>289.31</v>
      </c>
    </row>
    <row r="30" spans="1:17" x14ac:dyDescent="0.25">
      <c r="A30" s="4"/>
      <c r="B30" s="4"/>
      <c r="C30" s="4" t="s">
        <v>13</v>
      </c>
      <c r="D30" s="4"/>
      <c r="E30" s="3">
        <f>ROUND((E21+E22+E23+E24+E25+E26+E27+E28)*0.01,2)</f>
        <v>52.95</v>
      </c>
      <c r="F30" s="3"/>
      <c r="G30" s="3">
        <f t="shared" ref="G30:Q30" si="15">ROUND((G21+G22+G23+G24+G25+G26+G27+G28)*0.01,2)</f>
        <v>52.95</v>
      </c>
      <c r="H30" s="3"/>
      <c r="I30" s="3">
        <f t="shared" si="15"/>
        <v>52.95</v>
      </c>
      <c r="J30" s="3"/>
      <c r="K30" s="3">
        <f t="shared" si="15"/>
        <v>57.86</v>
      </c>
      <c r="L30" s="3"/>
      <c r="M30" s="3">
        <f t="shared" si="15"/>
        <v>52.95</v>
      </c>
      <c r="N30" s="3"/>
      <c r="O30" s="3">
        <f t="shared" si="15"/>
        <v>52.95</v>
      </c>
      <c r="P30" s="3"/>
      <c r="Q30" s="3">
        <f t="shared" si="15"/>
        <v>57.86</v>
      </c>
    </row>
    <row r="31" spans="1:17" ht="30" x14ac:dyDescent="0.25">
      <c r="A31" s="4"/>
      <c r="B31" s="4"/>
      <c r="C31" s="6" t="s">
        <v>14</v>
      </c>
      <c r="D31" s="4"/>
      <c r="E31" s="11">
        <f>ROUND((E21+E22+E23+E24+E25+E26+E27+E29+E30+E28)*0.302,2)</f>
        <v>1695.15</v>
      </c>
      <c r="F31" s="11"/>
      <c r="G31" s="11">
        <f t="shared" ref="G31:Q31" si="16">ROUND((G21+G22+G23+G24+G25+G26+G27+G29+G30+G28)*0.302,2)</f>
        <v>1695.15</v>
      </c>
      <c r="H31" s="11"/>
      <c r="I31" s="11">
        <f t="shared" si="16"/>
        <v>1695.15</v>
      </c>
      <c r="J31" s="11"/>
      <c r="K31" s="11">
        <f t="shared" si="16"/>
        <v>1852.28</v>
      </c>
      <c r="L31" s="11"/>
      <c r="M31" s="11">
        <f t="shared" si="16"/>
        <v>1695.15</v>
      </c>
      <c r="N31" s="11"/>
      <c r="O31" s="11">
        <f t="shared" si="16"/>
        <v>1695.15</v>
      </c>
      <c r="P31" s="11"/>
      <c r="Q31" s="11">
        <f t="shared" si="16"/>
        <v>1852.28</v>
      </c>
    </row>
    <row r="32" spans="1:17" ht="52.5" customHeight="1" x14ac:dyDescent="0.25">
      <c r="A32" s="4"/>
      <c r="B32" s="4"/>
      <c r="C32" s="6" t="s">
        <v>21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0" t="s">
        <v>15</v>
      </c>
      <c r="D33" s="4"/>
      <c r="E33" s="7">
        <f>E21+E22+E23+E24+E25+E26+E27+E29+E30+E31+E28</f>
        <v>7308.2300000000005</v>
      </c>
      <c r="F33" s="7"/>
      <c r="G33" s="7">
        <f t="shared" ref="G33:Q33" si="17">G21+G22+G23+G24+G25+G26+G27+G29+G30+G31+G28</f>
        <v>7308.2300000000005</v>
      </c>
      <c r="H33" s="7"/>
      <c r="I33" s="7">
        <f t="shared" si="17"/>
        <v>7308.2300000000005</v>
      </c>
      <c r="J33" s="7"/>
      <c r="K33" s="7">
        <f t="shared" si="17"/>
        <v>7985.65</v>
      </c>
      <c r="L33" s="7"/>
      <c r="M33" s="7">
        <f t="shared" si="17"/>
        <v>7308.2300000000005</v>
      </c>
      <c r="N33" s="7"/>
      <c r="O33" s="7">
        <f t="shared" si="17"/>
        <v>7308.2300000000005</v>
      </c>
      <c r="P33" s="7"/>
      <c r="Q33" s="7">
        <f t="shared" si="17"/>
        <v>7985.65</v>
      </c>
    </row>
    <row r="34" spans="1:17" x14ac:dyDescent="0.25">
      <c r="A34" s="4"/>
      <c r="B34" s="4"/>
      <c r="C34" s="10" t="s">
        <v>16</v>
      </c>
      <c r="D34" s="4"/>
      <c r="E34" s="7">
        <f>ROUND(E33*12,2)</f>
        <v>87698.76</v>
      </c>
      <c r="F34" s="5"/>
      <c r="G34" s="7">
        <f>ROUND(G33*12,2)</f>
        <v>87698.76</v>
      </c>
      <c r="H34" s="4"/>
      <c r="I34" s="7">
        <f>ROUND(I33*12,2)</f>
        <v>87698.76</v>
      </c>
      <c r="J34" s="17"/>
      <c r="K34" s="7">
        <f>ROUND(K33*12,2)</f>
        <v>95827.8</v>
      </c>
      <c r="L34" s="17"/>
      <c r="M34" s="15">
        <f>ROUND(M33*12,2)</f>
        <v>87698.76</v>
      </c>
      <c r="N34" s="17"/>
      <c r="O34" s="15">
        <f>ROUND(O33*12,2)</f>
        <v>87698.76</v>
      </c>
      <c r="P34" s="17"/>
      <c r="Q34" s="7">
        <f>ROUND(Q33*12,2)</f>
        <v>95827.8</v>
      </c>
    </row>
    <row r="35" spans="1:17" ht="45" x14ac:dyDescent="0.25">
      <c r="A35" s="3">
        <v>3</v>
      </c>
      <c r="B35" s="6" t="s">
        <v>28</v>
      </c>
      <c r="C35" s="6" t="s">
        <v>37</v>
      </c>
      <c r="D35" s="3">
        <v>0.125</v>
      </c>
      <c r="E35" s="7">
        <f>ROUND(7471*D35*1.01075,2)</f>
        <v>943.91</v>
      </c>
      <c r="F35" s="20"/>
      <c r="G35" s="7">
        <f>ROUND(7471*F35*1.01075,2)</f>
        <v>0</v>
      </c>
      <c r="H35" s="20">
        <v>0.125</v>
      </c>
      <c r="I35" s="7">
        <f>ROUND(7471*H35*1.01075,2)</f>
        <v>943.91</v>
      </c>
      <c r="J35" s="21">
        <v>0.125</v>
      </c>
      <c r="K35" s="7">
        <f>ROUND(7471*J35*1.01075,2)</f>
        <v>943.91</v>
      </c>
      <c r="L35" s="21"/>
      <c r="M35" s="7">
        <f>ROUND(7471*L35*1.01075,2)</f>
        <v>0</v>
      </c>
      <c r="N35" s="21">
        <v>0.125</v>
      </c>
      <c r="O35" s="7">
        <f>ROUND(7471*N35*1.01075,2)</f>
        <v>943.91</v>
      </c>
      <c r="P35" s="21">
        <v>0.125</v>
      </c>
      <c r="Q35" s="7">
        <f>ROUND(7471*P35*1.01075,2)</f>
        <v>943.91</v>
      </c>
    </row>
    <row r="36" spans="1:17" ht="45" x14ac:dyDescent="0.25">
      <c r="A36" s="4"/>
      <c r="B36" s="4"/>
      <c r="C36" s="6" t="s">
        <v>46</v>
      </c>
      <c r="D36" s="4"/>
      <c r="E36" s="7">
        <f>ROUND(E35*0.3,2)</f>
        <v>283.17</v>
      </c>
      <c r="F36" s="5"/>
      <c r="G36" s="7">
        <f>ROUND(G35*0.3,2)</f>
        <v>0</v>
      </c>
      <c r="H36" s="4"/>
      <c r="I36" s="7">
        <f>ROUND(I35*0.3,2)</f>
        <v>283.17</v>
      </c>
      <c r="J36" s="17"/>
      <c r="K36" s="7">
        <f>ROUND(K35*0.3,2)</f>
        <v>283.17</v>
      </c>
      <c r="L36" s="17"/>
      <c r="M36" s="15">
        <f>ROUND(M35*0.3,2)</f>
        <v>0</v>
      </c>
      <c r="N36" s="17"/>
      <c r="O36" s="15">
        <f>ROUND(O35*0.3,2)</f>
        <v>283.17</v>
      </c>
      <c r="P36" s="17"/>
      <c r="Q36" s="7">
        <f>ROUND(Q35*0.3,2)</f>
        <v>283.17</v>
      </c>
    </row>
    <row r="37" spans="1:17" ht="45" x14ac:dyDescent="0.25">
      <c r="A37" s="4"/>
      <c r="B37" s="4"/>
      <c r="C37" s="6" t="s">
        <v>45</v>
      </c>
      <c r="D37" s="4"/>
      <c r="E37" s="7"/>
      <c r="F37" s="5"/>
      <c r="G37" s="7"/>
      <c r="H37" s="4"/>
      <c r="I37" s="7"/>
      <c r="J37" s="17"/>
      <c r="K37" s="7">
        <f>ROUND((K35+K36)*0.2,2)</f>
        <v>245.42</v>
      </c>
      <c r="L37" s="17"/>
      <c r="M37" s="15"/>
      <c r="N37" s="17"/>
      <c r="O37" s="15"/>
      <c r="P37" s="17"/>
      <c r="Q37" s="7">
        <f>ROUND((Q35+Q36)*0.2,2)</f>
        <v>245.42</v>
      </c>
    </row>
    <row r="38" spans="1:17" ht="60" x14ac:dyDescent="0.25">
      <c r="A38" s="4"/>
      <c r="B38" s="4"/>
      <c r="C38" s="6" t="s">
        <v>47</v>
      </c>
      <c r="D38" s="4"/>
      <c r="E38" s="7">
        <f>ROUND((E35+E36)*0.3,2)</f>
        <v>368.12</v>
      </c>
      <c r="F38" s="5"/>
      <c r="G38" s="7">
        <f>ROUND((G35+G36)*0.3,2)</f>
        <v>0</v>
      </c>
      <c r="H38" s="4"/>
      <c r="I38" s="7">
        <f>ROUND((I35+I36)*0.3,2)</f>
        <v>368.12</v>
      </c>
      <c r="J38" s="17"/>
      <c r="K38" s="7">
        <f>ROUND((K35+K36)*0.3,2)</f>
        <v>368.12</v>
      </c>
      <c r="L38" s="17"/>
      <c r="M38" s="15">
        <f>ROUND((M35+M36)*0.3,2)</f>
        <v>0</v>
      </c>
      <c r="N38" s="17"/>
      <c r="O38" s="15">
        <f>ROUND((O35+O36)*0.3,2)</f>
        <v>368.12</v>
      </c>
      <c r="P38" s="17"/>
      <c r="Q38" s="7">
        <f>ROUND((Q35+Q36)*0.3,2)</f>
        <v>368.12</v>
      </c>
    </row>
    <row r="39" spans="1:17" ht="53.25" customHeight="1" x14ac:dyDescent="0.25">
      <c r="A39" s="4"/>
      <c r="B39" s="4"/>
      <c r="C39" s="6" t="s">
        <v>56</v>
      </c>
      <c r="D39" s="4"/>
      <c r="E39" s="7">
        <f>ROUND(E35*0.25,2)</f>
        <v>235.98</v>
      </c>
      <c r="F39" s="7"/>
      <c r="G39" s="7">
        <f t="shared" ref="G39:O39" si="18">ROUND(G35*0.25,2)</f>
        <v>0</v>
      </c>
      <c r="H39" s="7"/>
      <c r="I39" s="7">
        <f t="shared" si="18"/>
        <v>235.98</v>
      </c>
      <c r="J39" s="7"/>
      <c r="K39" s="7">
        <f t="shared" ref="K39" si="19">ROUND(K35*0.25,2)</f>
        <v>235.98</v>
      </c>
      <c r="L39" s="7"/>
      <c r="M39" s="15">
        <f t="shared" si="18"/>
        <v>0</v>
      </c>
      <c r="N39" s="15"/>
      <c r="O39" s="15">
        <f t="shared" si="18"/>
        <v>235.98</v>
      </c>
      <c r="P39" s="7"/>
      <c r="Q39" s="7">
        <f t="shared" ref="Q39" si="20">ROUND(Q35*0.25,2)</f>
        <v>235.98</v>
      </c>
    </row>
    <row r="40" spans="1:17" ht="45" x14ac:dyDescent="0.25">
      <c r="A40" s="4"/>
      <c r="B40" s="4"/>
      <c r="C40" s="6" t="s">
        <v>11</v>
      </c>
      <c r="D40" s="4"/>
      <c r="E40" s="7">
        <f>ROUND((E35+E36)*0.05,2)</f>
        <v>61.35</v>
      </c>
      <c r="F40" s="7"/>
      <c r="G40" s="7">
        <f t="shared" ref="G40:Q40" si="21">ROUND((G35+G36)*0.05,2)</f>
        <v>0</v>
      </c>
      <c r="H40" s="7"/>
      <c r="I40" s="7">
        <f t="shared" si="21"/>
        <v>61.35</v>
      </c>
      <c r="J40" s="7"/>
      <c r="K40" s="7">
        <f t="shared" si="21"/>
        <v>61.35</v>
      </c>
      <c r="L40" s="7"/>
      <c r="M40" s="7">
        <f t="shared" si="21"/>
        <v>0</v>
      </c>
      <c r="N40" s="7"/>
      <c r="O40" s="7">
        <f t="shared" si="21"/>
        <v>61.35</v>
      </c>
      <c r="P40" s="7"/>
      <c r="Q40" s="7">
        <f t="shared" si="21"/>
        <v>61.35</v>
      </c>
    </row>
    <row r="41" spans="1:17" ht="45" x14ac:dyDescent="0.25">
      <c r="A41" s="4"/>
      <c r="B41" s="4"/>
      <c r="C41" s="6" t="s">
        <v>48</v>
      </c>
      <c r="D41" s="4"/>
      <c r="E41" s="7">
        <f>ROUND(E35*0.4,2)</f>
        <v>377.56</v>
      </c>
      <c r="F41" s="7"/>
      <c r="G41" s="7">
        <f t="shared" ref="G41:Q41" si="22">ROUND(G35*0.4,2)</f>
        <v>0</v>
      </c>
      <c r="H41" s="7"/>
      <c r="I41" s="7">
        <f t="shared" si="22"/>
        <v>377.56</v>
      </c>
      <c r="J41" s="7"/>
      <c r="K41" s="7">
        <f t="shared" si="22"/>
        <v>377.56</v>
      </c>
      <c r="L41" s="7"/>
      <c r="M41" s="7">
        <f t="shared" si="22"/>
        <v>0</v>
      </c>
      <c r="N41" s="7"/>
      <c r="O41" s="7">
        <f t="shared" si="22"/>
        <v>377.56</v>
      </c>
      <c r="P41" s="7"/>
      <c r="Q41" s="7">
        <f t="shared" si="22"/>
        <v>377.56</v>
      </c>
    </row>
    <row r="42" spans="1:17" ht="36.75" customHeight="1" x14ac:dyDescent="0.25">
      <c r="A42" s="4"/>
      <c r="B42" s="4"/>
      <c r="C42" s="6" t="s">
        <v>61</v>
      </c>
      <c r="D42" s="4"/>
      <c r="E42" s="7">
        <f>ROUND(E35*0.4,2)</f>
        <v>377.56</v>
      </c>
      <c r="F42" s="7"/>
      <c r="G42" s="7">
        <f>ROUND(G35*0.4,2)</f>
        <v>0</v>
      </c>
      <c r="H42" s="7"/>
      <c r="I42" s="7">
        <f>ROUND(I35*0.4,2)</f>
        <v>377.56</v>
      </c>
      <c r="J42" s="7"/>
      <c r="K42" s="7">
        <f>ROUND(K35*0.4,2)</f>
        <v>377.56</v>
      </c>
      <c r="L42" s="7"/>
      <c r="M42" s="7">
        <f>ROUND(M35*0.4,2)</f>
        <v>0</v>
      </c>
      <c r="N42" s="7"/>
      <c r="O42" s="7">
        <f>ROUND(O35*0.4,2)</f>
        <v>377.56</v>
      </c>
      <c r="P42" s="7"/>
      <c r="Q42" s="7">
        <f>ROUND(Q35*0.4,2)</f>
        <v>377.56</v>
      </c>
    </row>
    <row r="43" spans="1:17" ht="26.25" customHeight="1" x14ac:dyDescent="0.25">
      <c r="A43" s="4"/>
      <c r="B43" s="4"/>
      <c r="C43" s="4" t="s">
        <v>12</v>
      </c>
      <c r="D43" s="4"/>
      <c r="E43" s="7">
        <f>ROUND((E35+E36+E37+E38+E39+E40+E41+E42)*0.05,2)</f>
        <v>132.38</v>
      </c>
      <c r="F43" s="7"/>
      <c r="G43" s="7">
        <f t="shared" ref="G43:Q43" si="23">ROUND((G35+G36+G37+G38+G39+G40+G41+G42)*0.05,2)</f>
        <v>0</v>
      </c>
      <c r="H43" s="7"/>
      <c r="I43" s="7">
        <f t="shared" si="23"/>
        <v>132.38</v>
      </c>
      <c r="J43" s="7"/>
      <c r="K43" s="7">
        <f t="shared" si="23"/>
        <v>144.65</v>
      </c>
      <c r="L43" s="7"/>
      <c r="M43" s="7">
        <f t="shared" si="23"/>
        <v>0</v>
      </c>
      <c r="N43" s="7"/>
      <c r="O43" s="7">
        <f t="shared" si="23"/>
        <v>132.38</v>
      </c>
      <c r="P43" s="7"/>
      <c r="Q43" s="7">
        <f t="shared" si="23"/>
        <v>144.65</v>
      </c>
    </row>
    <row r="44" spans="1:17" x14ac:dyDescent="0.25">
      <c r="A44" s="4"/>
      <c r="B44" s="4"/>
      <c r="C44" s="4" t="s">
        <v>13</v>
      </c>
      <c r="D44" s="4"/>
      <c r="E44" s="7">
        <f>ROUND((E35+E36+E37+E38+E39+E40+E41+E42)*0.01,2)</f>
        <v>26.48</v>
      </c>
      <c r="F44" s="3"/>
      <c r="G44" s="7">
        <f>ROUND((G35+G36+G37+G38+G39+G40+G41+G42)*0.01,2)</f>
        <v>0</v>
      </c>
      <c r="H44" s="3"/>
      <c r="I44" s="7">
        <f>ROUND((I35+I36+I37+I38+I39+I40+I41+I42)*0.01,2)</f>
        <v>26.48</v>
      </c>
      <c r="J44" s="3"/>
      <c r="K44" s="7">
        <f>ROUND((K35+K36+K37+K38+K39+K40+K41+K42)*0.01,2)</f>
        <v>28.93</v>
      </c>
      <c r="L44" s="3"/>
      <c r="M44" s="7">
        <f>ROUND((M35+M36+M37+M38+M39+M40+M41+M42)*0.01,2)</f>
        <v>0</v>
      </c>
      <c r="N44" s="3"/>
      <c r="O44" s="7">
        <f>ROUND((O35+O36+O37+O38+O39+O40+O41+O42)*0.01,2)</f>
        <v>26.48</v>
      </c>
      <c r="P44" s="3"/>
      <c r="Q44" s="7">
        <f>ROUND((Q35+Q36+Q37+Q38+Q39+Q40+Q41+Q42)*0.01,2)</f>
        <v>28.93</v>
      </c>
    </row>
    <row r="45" spans="1:17" ht="30" x14ac:dyDescent="0.25">
      <c r="A45" s="4"/>
      <c r="B45" s="4"/>
      <c r="C45" s="6" t="s">
        <v>14</v>
      </c>
      <c r="D45" s="4"/>
      <c r="E45" s="11">
        <f>ROUND((E35+E36+E37+E38+E39+E40+E41+E43+E44+E42)*0.302,2)</f>
        <v>847.57</v>
      </c>
      <c r="F45" s="11"/>
      <c r="G45" s="11">
        <f t="shared" ref="G45:Q45" si="24">ROUND((G35+G36+G37+G38+G39+G40+G41+G43+G44+G42)*0.302,2)</f>
        <v>0</v>
      </c>
      <c r="H45" s="11"/>
      <c r="I45" s="11">
        <f t="shared" si="24"/>
        <v>847.57</v>
      </c>
      <c r="J45" s="11"/>
      <c r="K45" s="11">
        <f t="shared" si="24"/>
        <v>926.13</v>
      </c>
      <c r="L45" s="11"/>
      <c r="M45" s="11">
        <f t="shared" si="24"/>
        <v>0</v>
      </c>
      <c r="N45" s="11"/>
      <c r="O45" s="11">
        <f t="shared" si="24"/>
        <v>847.57</v>
      </c>
      <c r="P45" s="11"/>
      <c r="Q45" s="11">
        <f t="shared" si="24"/>
        <v>926.13</v>
      </c>
    </row>
    <row r="46" spans="1:17" ht="55.5" customHeight="1" x14ac:dyDescent="0.25">
      <c r="A46" s="4"/>
      <c r="B46" s="4"/>
      <c r="C46" s="6" t="s">
        <v>22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0" t="s">
        <v>15</v>
      </c>
      <c r="D47" s="4"/>
      <c r="E47" s="7">
        <f>E35+E36+E37+E38+E39+E40+E41+E43+E44+E45+E42</f>
        <v>3654.08</v>
      </c>
      <c r="F47" s="7"/>
      <c r="G47" s="7">
        <f t="shared" ref="G47:Q47" si="25">G35+G36+G37+G38+G39+G40+G41+G43+G44+G45+G42</f>
        <v>0</v>
      </c>
      <c r="H47" s="7"/>
      <c r="I47" s="7">
        <f t="shared" si="25"/>
        <v>3654.08</v>
      </c>
      <c r="J47" s="7"/>
      <c r="K47" s="7">
        <f t="shared" si="25"/>
        <v>3992.7799999999997</v>
      </c>
      <c r="L47" s="7"/>
      <c r="M47" s="7">
        <f t="shared" si="25"/>
        <v>0</v>
      </c>
      <c r="N47" s="7"/>
      <c r="O47" s="7">
        <f t="shared" si="25"/>
        <v>3654.08</v>
      </c>
      <c r="P47" s="7"/>
      <c r="Q47" s="7">
        <f t="shared" si="25"/>
        <v>3992.7799999999997</v>
      </c>
    </row>
    <row r="48" spans="1:17" x14ac:dyDescent="0.25">
      <c r="A48" s="4"/>
      <c r="B48" s="4"/>
      <c r="C48" s="10" t="s">
        <v>16</v>
      </c>
      <c r="D48" s="4"/>
      <c r="E48" s="7">
        <f>ROUND(E47*12,2)</f>
        <v>43848.959999999999</v>
      </c>
      <c r="F48" s="5"/>
      <c r="G48" s="7">
        <f>ROUND(G47*12,2)</f>
        <v>0</v>
      </c>
      <c r="H48" s="4"/>
      <c r="I48" s="7">
        <f>ROUND(I47*12,2)</f>
        <v>43848.959999999999</v>
      </c>
      <c r="J48" s="17"/>
      <c r="K48" s="7">
        <f>ROUND(K47*12,2)</f>
        <v>47913.36</v>
      </c>
      <c r="L48" s="17"/>
      <c r="M48" s="15">
        <f>ROUND(M47*12,2)</f>
        <v>0</v>
      </c>
      <c r="N48" s="17"/>
      <c r="O48" s="15">
        <f>ROUND(O47*12,2)</f>
        <v>43848.959999999999</v>
      </c>
      <c r="P48" s="17"/>
      <c r="Q48" s="7">
        <f>ROUND(Q47*12,2)</f>
        <v>47913.36</v>
      </c>
    </row>
    <row r="49" spans="1:17" ht="65.25" customHeight="1" x14ac:dyDescent="0.25">
      <c r="A49" s="3">
        <v>4</v>
      </c>
      <c r="B49" s="6" t="s">
        <v>18</v>
      </c>
      <c r="C49" s="6" t="s">
        <v>37</v>
      </c>
      <c r="D49" s="4"/>
      <c r="E49" s="7"/>
      <c r="F49" s="5"/>
      <c r="G49" s="7"/>
      <c r="H49" s="3"/>
      <c r="I49" s="7"/>
      <c r="J49" s="3">
        <v>1</v>
      </c>
      <c r="K49" s="7">
        <v>8714</v>
      </c>
      <c r="L49" s="17"/>
      <c r="M49" s="15"/>
      <c r="N49" s="17"/>
      <c r="O49" s="15"/>
      <c r="P49" s="3">
        <v>1</v>
      </c>
      <c r="Q49" s="7">
        <v>8714</v>
      </c>
    </row>
    <row r="50" spans="1:17" ht="45" x14ac:dyDescent="0.25">
      <c r="A50" s="4"/>
      <c r="B50" s="4"/>
      <c r="C50" s="6" t="s">
        <v>46</v>
      </c>
      <c r="D50" s="4"/>
      <c r="E50" s="7"/>
      <c r="F50" s="5"/>
      <c r="G50" s="7"/>
      <c r="H50" s="4"/>
      <c r="I50" s="7"/>
      <c r="J50" s="4"/>
      <c r="K50" s="7">
        <f>ROUND(K49*0.3,2)</f>
        <v>2614.1999999999998</v>
      </c>
      <c r="L50" s="17"/>
      <c r="M50" s="15"/>
      <c r="N50" s="17"/>
      <c r="O50" s="15"/>
      <c r="P50" s="4"/>
      <c r="Q50" s="7">
        <f>ROUND(Q49*0.3,2)</f>
        <v>2614.1999999999998</v>
      </c>
    </row>
    <row r="51" spans="1:17" ht="41.25" customHeight="1" x14ac:dyDescent="0.25">
      <c r="A51" s="4"/>
      <c r="B51" s="4"/>
      <c r="C51" s="6" t="s">
        <v>45</v>
      </c>
      <c r="D51" s="4"/>
      <c r="E51" s="7"/>
      <c r="F51" s="5"/>
      <c r="G51" s="7"/>
      <c r="H51" s="4"/>
      <c r="I51" s="7"/>
      <c r="J51" s="4"/>
      <c r="K51" s="7">
        <f>ROUND((K49+K50)*0.2,2)</f>
        <v>2265.64</v>
      </c>
      <c r="L51" s="17"/>
      <c r="M51" s="15"/>
      <c r="N51" s="17"/>
      <c r="O51" s="15"/>
      <c r="P51" s="4"/>
      <c r="Q51" s="7">
        <f>ROUND((Q49+Q50)*0.2,2)</f>
        <v>2265.64</v>
      </c>
    </row>
    <row r="52" spans="1:17" ht="60" x14ac:dyDescent="0.25">
      <c r="A52" s="4"/>
      <c r="B52" s="4"/>
      <c r="C52" s="6" t="s">
        <v>47</v>
      </c>
      <c r="D52" s="4"/>
      <c r="E52" s="7"/>
      <c r="F52" s="5"/>
      <c r="G52" s="7"/>
      <c r="H52" s="4"/>
      <c r="I52" s="7"/>
      <c r="J52" s="4"/>
      <c r="K52" s="7">
        <f>ROUND((K49+K50)*0.3,2)</f>
        <v>3398.46</v>
      </c>
      <c r="L52" s="17"/>
      <c r="M52" s="15"/>
      <c r="N52" s="17"/>
      <c r="O52" s="15"/>
      <c r="P52" s="4"/>
      <c r="Q52" s="7">
        <f>ROUND((Q49+Q50)*0.3,2)</f>
        <v>3398.46</v>
      </c>
    </row>
    <row r="53" spans="1:17" ht="50.25" customHeight="1" x14ac:dyDescent="0.25">
      <c r="A53" s="4"/>
      <c r="B53" s="4"/>
      <c r="C53" s="6" t="s">
        <v>56</v>
      </c>
      <c r="D53" s="4"/>
      <c r="E53" s="7"/>
      <c r="F53" s="5"/>
      <c r="G53" s="7"/>
      <c r="H53" s="4"/>
      <c r="I53" s="7"/>
      <c r="J53" s="4"/>
      <c r="K53" s="7">
        <f t="shared" ref="K53" si="26">ROUND(K49*0.25,2)</f>
        <v>2178.5</v>
      </c>
      <c r="L53" s="17"/>
      <c r="M53" s="15"/>
      <c r="N53" s="17"/>
      <c r="O53" s="15"/>
      <c r="P53" s="4"/>
      <c r="Q53" s="7">
        <f t="shared" ref="Q53" si="27">ROUND(Q49*0.25,2)</f>
        <v>2178.5</v>
      </c>
    </row>
    <row r="54" spans="1:17" ht="40.5" customHeight="1" x14ac:dyDescent="0.25">
      <c r="A54" s="4"/>
      <c r="B54" s="4"/>
      <c r="C54" s="6" t="s">
        <v>11</v>
      </c>
      <c r="D54" s="4"/>
      <c r="E54" s="7"/>
      <c r="F54" s="5"/>
      <c r="G54" s="7"/>
      <c r="H54" s="4"/>
      <c r="I54" s="7"/>
      <c r="J54" s="4"/>
      <c r="K54" s="7">
        <f>ROUND((K49+K50)*0.05,2)</f>
        <v>566.41</v>
      </c>
      <c r="L54" s="17"/>
      <c r="M54" s="15"/>
      <c r="N54" s="17"/>
      <c r="O54" s="15"/>
      <c r="P54" s="4"/>
      <c r="Q54" s="7">
        <f>ROUND((Q49+Q50)*0.05,2)</f>
        <v>566.41</v>
      </c>
    </row>
    <row r="55" spans="1:17" ht="45" x14ac:dyDescent="0.25">
      <c r="A55" s="4"/>
      <c r="B55" s="4"/>
      <c r="C55" s="6" t="s">
        <v>48</v>
      </c>
      <c r="D55" s="4"/>
      <c r="E55" s="7"/>
      <c r="F55" s="5"/>
      <c r="G55" s="7"/>
      <c r="H55" s="4"/>
      <c r="I55" s="7"/>
      <c r="J55" s="4"/>
      <c r="K55" s="7">
        <f>ROUND(K49*0.4,2)</f>
        <v>3485.6</v>
      </c>
      <c r="L55" s="17"/>
      <c r="M55" s="15"/>
      <c r="N55" s="17"/>
      <c r="O55" s="15"/>
      <c r="P55" s="4"/>
      <c r="Q55" s="7">
        <f>ROUND(Q49*0.2,2)</f>
        <v>1742.8</v>
      </c>
    </row>
    <row r="56" spans="1:17" ht="39.75" customHeight="1" x14ac:dyDescent="0.25">
      <c r="A56" s="4"/>
      <c r="B56" s="4"/>
      <c r="C56" s="6" t="s">
        <v>61</v>
      </c>
      <c r="D56" s="4"/>
      <c r="E56" s="7"/>
      <c r="F56" s="5"/>
      <c r="G56" s="7"/>
      <c r="H56" s="4"/>
      <c r="I56" s="7"/>
      <c r="J56" s="4"/>
      <c r="K56" s="7">
        <f>ROUND(K49*0.4,2)</f>
        <v>3485.6</v>
      </c>
      <c r="L56" s="17"/>
      <c r="M56" s="15"/>
      <c r="N56" s="17"/>
      <c r="O56" s="15"/>
      <c r="P56" s="4"/>
      <c r="Q56" s="7">
        <f>ROUND(Q49*0.4,2)</f>
        <v>3485.6</v>
      </c>
    </row>
    <row r="57" spans="1:17" x14ac:dyDescent="0.25">
      <c r="A57" s="4"/>
      <c r="B57" s="4"/>
      <c r="C57" s="4" t="s">
        <v>12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1335.42</v>
      </c>
      <c r="L57" s="17"/>
      <c r="M57" s="15"/>
      <c r="N57" s="17"/>
      <c r="O57" s="15"/>
      <c r="P57" s="4"/>
      <c r="Q57" s="7">
        <f>ROUND((Q49+Q50+Q51+Q52+Q53+Q54+Q55+Q56)*0.05,2)</f>
        <v>1248.28</v>
      </c>
    </row>
    <row r="58" spans="1:17" ht="24.75" customHeight="1" x14ac:dyDescent="0.25">
      <c r="A58" s="4"/>
      <c r="B58" s="4"/>
      <c r="C58" s="4" t="s">
        <v>13</v>
      </c>
      <c r="D58" s="4"/>
      <c r="E58" s="7"/>
      <c r="F58" s="5"/>
      <c r="G58" s="7"/>
      <c r="H58" s="4"/>
      <c r="I58" s="12"/>
      <c r="J58" s="4"/>
      <c r="K58" s="24">
        <f>ROUND((K49+K50+K51+K52+K53+K54+K55+K56)*0.01,2)</f>
        <v>267.08</v>
      </c>
      <c r="L58" s="17"/>
      <c r="M58" s="15"/>
      <c r="N58" s="17"/>
      <c r="O58" s="15"/>
      <c r="P58" s="4"/>
      <c r="Q58" s="24">
        <f>ROUND((Q49+Q50+Q51+Q52+Q53+Q54+Q55+Q56)*0.01,2)</f>
        <v>249.66</v>
      </c>
    </row>
    <row r="59" spans="1:17" ht="30" x14ac:dyDescent="0.25">
      <c r="A59" s="4"/>
      <c r="B59" s="4"/>
      <c r="C59" s="6" t="s">
        <v>14</v>
      </c>
      <c r="D59" s="4"/>
      <c r="E59" s="7"/>
      <c r="F59" s="5"/>
      <c r="G59" s="7"/>
      <c r="H59" s="4"/>
      <c r="I59" s="11"/>
      <c r="J59" s="4"/>
      <c r="K59" s="11">
        <f>ROUND((K49+K50+K51+K52+K53+K54+K55+K57+K58+K56)*0.302,2)</f>
        <v>8549.89</v>
      </c>
      <c r="L59" s="17"/>
      <c r="M59" s="15"/>
      <c r="N59" s="17"/>
      <c r="O59" s="15"/>
      <c r="P59" s="4"/>
      <c r="Q59" s="11">
        <f>ROUND((Q49+Q50+Q51+Q52+Q53+Q54+Q55+Q57+Q58+Q56)*0.302,2)</f>
        <v>7991.99</v>
      </c>
    </row>
    <row r="60" spans="1:17" ht="45" x14ac:dyDescent="0.25">
      <c r="A60" s="4"/>
      <c r="B60" s="4"/>
      <c r="C60" s="6" t="s">
        <v>23</v>
      </c>
      <c r="D60" s="4"/>
      <c r="E60" s="7"/>
      <c r="F60" s="5"/>
      <c r="G60" s="7"/>
      <c r="H60" s="4"/>
      <c r="I60" s="7"/>
      <c r="J60" s="4"/>
      <c r="K60" s="7"/>
      <c r="L60" s="17"/>
      <c r="M60" s="15"/>
      <c r="N60" s="17"/>
      <c r="O60" s="15"/>
      <c r="P60" s="4"/>
      <c r="Q60" s="7"/>
    </row>
    <row r="61" spans="1:17" x14ac:dyDescent="0.25">
      <c r="A61" s="4"/>
      <c r="B61" s="4"/>
      <c r="C61" s="10" t="s">
        <v>15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36860.799999999996</v>
      </c>
      <c r="L61" s="17"/>
      <c r="M61" s="15"/>
      <c r="N61" s="17"/>
      <c r="O61" s="15"/>
      <c r="P61" s="4"/>
      <c r="Q61" s="7">
        <f>Q49+Q50+Q51+Q52+Q53+Q54+Q55+Q57+Q58+Q59+Q56</f>
        <v>34455.539999999994</v>
      </c>
    </row>
    <row r="62" spans="1:17" x14ac:dyDescent="0.25">
      <c r="A62" s="4"/>
      <c r="B62" s="4"/>
      <c r="C62" s="10" t="s">
        <v>16</v>
      </c>
      <c r="D62" s="4"/>
      <c r="E62" s="7"/>
      <c r="F62" s="5"/>
      <c r="G62" s="7"/>
      <c r="H62" s="4"/>
      <c r="I62" s="7"/>
      <c r="J62" s="4"/>
      <c r="K62" s="7">
        <f>ROUND(K61*12,2)</f>
        <v>442329.59999999998</v>
      </c>
      <c r="L62" s="17"/>
      <c r="M62" s="15"/>
      <c r="N62" s="17"/>
      <c r="O62" s="15"/>
      <c r="P62" s="4"/>
      <c r="Q62" s="7">
        <f>ROUND(Q61*12,2)</f>
        <v>413466.48</v>
      </c>
    </row>
    <row r="63" spans="1:17" ht="30" x14ac:dyDescent="0.25">
      <c r="A63" s="3">
        <v>5</v>
      </c>
      <c r="B63" s="6" t="s">
        <v>20</v>
      </c>
      <c r="C63" s="6" t="s">
        <v>10</v>
      </c>
      <c r="D63" s="20">
        <v>8.3000000000000004E-2</v>
      </c>
      <c r="E63" s="7">
        <f>ROUND(8216*D63*1.01075,2)</f>
        <v>689.26</v>
      </c>
      <c r="F63" s="20">
        <v>8.3000000000000004E-2</v>
      </c>
      <c r="G63" s="7">
        <f>ROUND(8216*F63*1.01075,2)</f>
        <v>689.26</v>
      </c>
      <c r="H63" s="20">
        <v>8.3000000000000004E-2</v>
      </c>
      <c r="I63" s="7">
        <f>ROUND(8216*H63*1.01075,2)</f>
        <v>689.26</v>
      </c>
      <c r="J63" s="20">
        <v>8.3000000000000004E-2</v>
      </c>
      <c r="K63" s="7">
        <f>ROUND(8216*J63*1.01075,2)</f>
        <v>689.26</v>
      </c>
      <c r="L63" s="20">
        <v>8.3000000000000004E-2</v>
      </c>
      <c r="M63" s="7">
        <f>ROUND(8216*L63*1.01075,2)</f>
        <v>689.26</v>
      </c>
      <c r="N63" s="21">
        <v>8.3000000000000004E-2</v>
      </c>
      <c r="O63" s="7">
        <f>ROUND(8216*N63*1.01075,2)</f>
        <v>689.26</v>
      </c>
      <c r="P63" s="20">
        <v>8.3000000000000004E-2</v>
      </c>
      <c r="Q63" s="7">
        <f>ROUND(8216*P63*1.01075,2)</f>
        <v>689.26</v>
      </c>
    </row>
    <row r="64" spans="1:17" ht="45" x14ac:dyDescent="0.25">
      <c r="A64" s="4"/>
      <c r="B64" s="4"/>
      <c r="C64" s="6" t="s">
        <v>50</v>
      </c>
      <c r="D64" s="4"/>
      <c r="E64" s="7">
        <f>ROUND(E63*0.3,2)</f>
        <v>206.78</v>
      </c>
      <c r="F64" s="5"/>
      <c r="G64" s="7">
        <f>ROUND(G63*0.3,2)</f>
        <v>206.78</v>
      </c>
      <c r="H64" s="4"/>
      <c r="I64" s="7">
        <f>ROUND(I63*0.3,2)</f>
        <v>206.78</v>
      </c>
      <c r="J64" s="17"/>
      <c r="K64" s="7">
        <f>ROUND(K63*0.3,2)</f>
        <v>206.78</v>
      </c>
      <c r="L64" s="17"/>
      <c r="M64" s="15">
        <f>ROUND(M63*0.3,2)</f>
        <v>206.78</v>
      </c>
      <c r="N64" s="17"/>
      <c r="O64" s="15">
        <f>ROUND(O63*0.3,2)</f>
        <v>206.78</v>
      </c>
      <c r="P64" s="17"/>
      <c r="Q64" s="7">
        <f>ROUND(Q63*0.3,2)</f>
        <v>206.78</v>
      </c>
    </row>
    <row r="65" spans="1:17" ht="45" x14ac:dyDescent="0.25">
      <c r="A65" s="4"/>
      <c r="B65" s="4"/>
      <c r="C65" s="6" t="s">
        <v>51</v>
      </c>
      <c r="D65" s="4"/>
      <c r="E65" s="7"/>
      <c r="F65" s="5"/>
      <c r="G65" s="7"/>
      <c r="H65" s="4"/>
      <c r="I65" s="7"/>
      <c r="J65" s="17"/>
      <c r="K65" s="7">
        <f>ROUND((K63+K64)*0.2,2)</f>
        <v>179.21</v>
      </c>
      <c r="L65" s="17"/>
      <c r="M65" s="15"/>
      <c r="N65" s="17"/>
      <c r="O65" s="15"/>
      <c r="P65" s="17"/>
      <c r="Q65" s="7">
        <f>ROUND((Q63+Q64)*0.2,2)</f>
        <v>179.21</v>
      </c>
    </row>
    <row r="66" spans="1:17" ht="60" x14ac:dyDescent="0.25">
      <c r="A66" s="4"/>
      <c r="B66" s="4"/>
      <c r="C66" s="6" t="s">
        <v>55</v>
      </c>
      <c r="D66" s="4"/>
      <c r="E66" s="7">
        <f>ROUND((E63+E64)*0.3,2)</f>
        <v>268.81</v>
      </c>
      <c r="F66" s="5"/>
      <c r="G66" s="7">
        <f>ROUND((G63+G64)*0.3,2)</f>
        <v>268.81</v>
      </c>
      <c r="H66" s="4"/>
      <c r="I66" s="7">
        <f>ROUND((I63+I64)*0.3,2)</f>
        <v>268.81</v>
      </c>
      <c r="J66" s="17"/>
      <c r="K66" s="7">
        <f>ROUND((K63+K64)*0.3,2)</f>
        <v>268.81</v>
      </c>
      <c r="L66" s="17"/>
      <c r="M66" s="15">
        <f>ROUND((M63+M64)*0.3,2)</f>
        <v>268.81</v>
      </c>
      <c r="N66" s="17"/>
      <c r="O66" s="15">
        <f>ROUND((O63+O64)*0.3,2)</f>
        <v>268.81</v>
      </c>
      <c r="P66" s="17"/>
      <c r="Q66" s="7">
        <f>ROUND((Q63+Q64)*0.3,2)</f>
        <v>268.81</v>
      </c>
    </row>
    <row r="67" spans="1:17" ht="60.75" customHeight="1" x14ac:dyDescent="0.25">
      <c r="A67" s="4"/>
      <c r="B67" s="4"/>
      <c r="C67" s="6" t="s">
        <v>57</v>
      </c>
      <c r="D67" s="4"/>
      <c r="E67" s="7">
        <f>ROUND(E63*0.25,2)</f>
        <v>172.32</v>
      </c>
      <c r="F67" s="7"/>
      <c r="G67" s="7">
        <f t="shared" ref="G67:O67" si="28">ROUND(G63*0.25,2)</f>
        <v>172.32</v>
      </c>
      <c r="H67" s="7"/>
      <c r="I67" s="7">
        <f t="shared" si="28"/>
        <v>172.32</v>
      </c>
      <c r="J67" s="7"/>
      <c r="K67" s="7">
        <f t="shared" ref="K67" si="29">ROUND(K63*0.25,2)</f>
        <v>172.32</v>
      </c>
      <c r="L67" s="7"/>
      <c r="M67" s="15">
        <f t="shared" si="28"/>
        <v>172.32</v>
      </c>
      <c r="N67" s="15"/>
      <c r="O67" s="15">
        <f t="shared" si="28"/>
        <v>172.32</v>
      </c>
      <c r="P67" s="7"/>
      <c r="Q67" s="7">
        <f t="shared" ref="Q67" si="30">ROUND(Q63*0.25,2)</f>
        <v>172.32</v>
      </c>
    </row>
    <row r="68" spans="1:17" ht="45.75" customHeight="1" x14ac:dyDescent="0.25">
      <c r="A68" s="4"/>
      <c r="B68" s="4"/>
      <c r="C68" s="6" t="s">
        <v>11</v>
      </c>
      <c r="D68" s="4"/>
      <c r="E68" s="7">
        <f>ROUND((E63+E64)*0.05,2)</f>
        <v>44.8</v>
      </c>
      <c r="F68" s="7"/>
      <c r="G68" s="7">
        <f t="shared" ref="G68:Q68" si="31">ROUND((G63+G64)*0.05,2)</f>
        <v>44.8</v>
      </c>
      <c r="H68" s="7"/>
      <c r="I68" s="7">
        <f t="shared" si="31"/>
        <v>44.8</v>
      </c>
      <c r="J68" s="7"/>
      <c r="K68" s="7">
        <f t="shared" si="31"/>
        <v>44.8</v>
      </c>
      <c r="L68" s="7"/>
      <c r="M68" s="7">
        <f t="shared" si="31"/>
        <v>44.8</v>
      </c>
      <c r="N68" s="7"/>
      <c r="O68" s="7">
        <f t="shared" si="31"/>
        <v>44.8</v>
      </c>
      <c r="P68" s="7"/>
      <c r="Q68" s="7">
        <f t="shared" si="31"/>
        <v>44.8</v>
      </c>
    </row>
    <row r="69" spans="1:17" ht="45" x14ac:dyDescent="0.25">
      <c r="A69" s="4"/>
      <c r="B69" s="4"/>
      <c r="C69" s="6" t="s">
        <v>52</v>
      </c>
      <c r="D69" s="4"/>
      <c r="E69" s="7">
        <f>ROUND(E63*0.4,2)</f>
        <v>275.7</v>
      </c>
      <c r="F69" s="7"/>
      <c r="G69" s="7">
        <f t="shared" ref="G69:Q69" si="32">ROUND(G63*0.4,2)</f>
        <v>275.7</v>
      </c>
      <c r="H69" s="7"/>
      <c r="I69" s="7">
        <f t="shared" si="32"/>
        <v>275.7</v>
      </c>
      <c r="J69" s="7"/>
      <c r="K69" s="7">
        <f t="shared" si="32"/>
        <v>275.7</v>
      </c>
      <c r="L69" s="7"/>
      <c r="M69" s="7">
        <f t="shared" si="32"/>
        <v>275.7</v>
      </c>
      <c r="N69" s="7"/>
      <c r="O69" s="7">
        <f t="shared" si="32"/>
        <v>275.7</v>
      </c>
      <c r="P69" s="7"/>
      <c r="Q69" s="7">
        <f t="shared" si="32"/>
        <v>275.7</v>
      </c>
    </row>
    <row r="70" spans="1:17" ht="52.5" customHeight="1" x14ac:dyDescent="0.25">
      <c r="A70" s="4"/>
      <c r="B70" s="4"/>
      <c r="C70" s="6" t="s">
        <v>62</v>
      </c>
      <c r="D70" s="4"/>
      <c r="E70" s="7">
        <f>ROUND(E63*0.4,2)</f>
        <v>275.7</v>
      </c>
      <c r="F70" s="7"/>
      <c r="G70" s="7">
        <f>ROUND(G63*0.4,2)</f>
        <v>275.7</v>
      </c>
      <c r="H70" s="7"/>
      <c r="I70" s="7">
        <f>ROUND(I63*0.4,2)</f>
        <v>275.7</v>
      </c>
      <c r="J70" s="7"/>
      <c r="K70" s="7">
        <f>ROUND(K63*0.4,2)</f>
        <v>275.7</v>
      </c>
      <c r="L70" s="7"/>
      <c r="M70" s="7">
        <f>ROUND(M63*0.4,2)</f>
        <v>275.7</v>
      </c>
      <c r="N70" s="7"/>
      <c r="O70" s="7">
        <f>ROUND(O63*0.4,2)</f>
        <v>275.7</v>
      </c>
      <c r="P70" s="7"/>
      <c r="Q70" s="7">
        <f>ROUND(Q63*0.4,2)</f>
        <v>275.7</v>
      </c>
    </row>
    <row r="71" spans="1:17" x14ac:dyDescent="0.25">
      <c r="A71" s="4"/>
      <c r="B71" s="4"/>
      <c r="C71" s="4" t="s">
        <v>12</v>
      </c>
      <c r="D71" s="4"/>
      <c r="E71" s="7">
        <f>ROUND((E63+E64+F65+E66+E67+E68+E69+E70)*0.05,2)</f>
        <v>96.67</v>
      </c>
      <c r="F71" s="7"/>
      <c r="G71" s="7">
        <f t="shared" ref="G71:Q71" si="33">ROUND((G63+G64+H65+G66+G67+G68+G69+G70)*0.05,2)</f>
        <v>96.67</v>
      </c>
      <c r="H71" s="7"/>
      <c r="I71" s="7">
        <f t="shared" si="33"/>
        <v>96.67</v>
      </c>
      <c r="J71" s="7"/>
      <c r="K71" s="7">
        <f t="shared" si="33"/>
        <v>96.67</v>
      </c>
      <c r="L71" s="7"/>
      <c r="M71" s="7">
        <f t="shared" si="33"/>
        <v>96.67</v>
      </c>
      <c r="N71" s="7"/>
      <c r="O71" s="7">
        <f t="shared" si="33"/>
        <v>96.67</v>
      </c>
      <c r="P71" s="7"/>
      <c r="Q71" s="7">
        <f t="shared" si="33"/>
        <v>96.67</v>
      </c>
    </row>
    <row r="72" spans="1:17" x14ac:dyDescent="0.25">
      <c r="A72" s="4"/>
      <c r="B72" s="4"/>
      <c r="C72" s="4" t="s">
        <v>13</v>
      </c>
      <c r="D72" s="4"/>
      <c r="E72" s="3">
        <f>ROUND((E63+E64+E65+E66+E67+E68+E69+E70)*0.01,2)</f>
        <v>19.329999999999998</v>
      </c>
      <c r="F72" s="3"/>
      <c r="G72" s="3">
        <f t="shared" ref="G72:Q72" si="34">ROUND((G63+G64+G65+G66+G67+G68+G69+G70)*0.01,2)</f>
        <v>19.329999999999998</v>
      </c>
      <c r="H72" s="3"/>
      <c r="I72" s="3">
        <f t="shared" si="34"/>
        <v>19.329999999999998</v>
      </c>
      <c r="J72" s="3"/>
      <c r="K72" s="3">
        <f t="shared" si="34"/>
        <v>21.13</v>
      </c>
      <c r="L72" s="3"/>
      <c r="M72" s="3">
        <f t="shared" si="34"/>
        <v>19.329999999999998</v>
      </c>
      <c r="N72" s="3"/>
      <c r="O72" s="3">
        <f t="shared" si="34"/>
        <v>19.329999999999998</v>
      </c>
      <c r="P72" s="3"/>
      <c r="Q72" s="3">
        <f t="shared" si="34"/>
        <v>21.13</v>
      </c>
    </row>
    <row r="73" spans="1:17" ht="30" x14ac:dyDescent="0.25">
      <c r="A73" s="4"/>
      <c r="B73" s="4"/>
      <c r="C73" s="6" t="s">
        <v>14</v>
      </c>
      <c r="D73" s="4"/>
      <c r="E73" s="11">
        <f>ROUND((E63+E64+E65+E66+E67+E68+E69+E71+E72+E70)*0.302,2)</f>
        <v>618.91</v>
      </c>
      <c r="F73" s="11"/>
      <c r="G73" s="11">
        <f t="shared" ref="G73:Q73" si="35">ROUND((G63+G64+G65+G66+G67+G68+G69+G71+G72+G70)*0.302,2)</f>
        <v>618.91</v>
      </c>
      <c r="H73" s="11"/>
      <c r="I73" s="11">
        <f t="shared" si="35"/>
        <v>618.91</v>
      </c>
      <c r="J73" s="11"/>
      <c r="K73" s="11">
        <f t="shared" si="35"/>
        <v>673.57</v>
      </c>
      <c r="L73" s="11"/>
      <c r="M73" s="11">
        <f t="shared" si="35"/>
        <v>618.91</v>
      </c>
      <c r="N73" s="11"/>
      <c r="O73" s="11">
        <f t="shared" si="35"/>
        <v>618.91</v>
      </c>
      <c r="P73" s="11"/>
      <c r="Q73" s="11">
        <f t="shared" si="35"/>
        <v>673.57</v>
      </c>
    </row>
    <row r="74" spans="1:17" ht="30" x14ac:dyDescent="0.25">
      <c r="A74" s="4"/>
      <c r="B74" s="4"/>
      <c r="C74" s="6" t="s">
        <v>24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0" t="s">
        <v>15</v>
      </c>
      <c r="D75" s="4"/>
      <c r="E75" s="7">
        <f>E63+E64+E65+E66+E67+E68+E69+E71+E72+E73+E70</f>
        <v>2668.2799999999997</v>
      </c>
      <c r="F75" s="7"/>
      <c r="G75" s="7">
        <f t="shared" ref="G75:Q75" si="36">G63+G64+G65+G66+G67+G68+G69+G71+G72+G73+G70</f>
        <v>2668.2799999999997</v>
      </c>
      <c r="H75" s="7"/>
      <c r="I75" s="7">
        <f t="shared" si="36"/>
        <v>2668.2799999999997</v>
      </c>
      <c r="J75" s="7"/>
      <c r="K75" s="7">
        <f t="shared" si="36"/>
        <v>2903.95</v>
      </c>
      <c r="L75" s="7"/>
      <c r="M75" s="7">
        <f t="shared" si="36"/>
        <v>2668.2799999999997</v>
      </c>
      <c r="N75" s="7"/>
      <c r="O75" s="7">
        <f t="shared" si="36"/>
        <v>2668.2799999999997</v>
      </c>
      <c r="P75" s="7"/>
      <c r="Q75" s="7">
        <f t="shared" si="36"/>
        <v>2903.95</v>
      </c>
    </row>
    <row r="76" spans="1:17" x14ac:dyDescent="0.25">
      <c r="A76" s="4"/>
      <c r="B76" s="4"/>
      <c r="C76" s="10" t="s">
        <v>16</v>
      </c>
      <c r="D76" s="4"/>
      <c r="E76" s="7">
        <f>ROUND(E75*12,2)</f>
        <v>32019.360000000001</v>
      </c>
      <c r="F76" s="5"/>
      <c r="G76" s="7">
        <f>ROUND(G75*12,2)</f>
        <v>32019.360000000001</v>
      </c>
      <c r="H76" s="4"/>
      <c r="I76" s="7">
        <f>ROUND(I75*12,2)</f>
        <v>32019.360000000001</v>
      </c>
      <c r="J76" s="17"/>
      <c r="K76" s="7">
        <f>ROUND(K75*12,2)</f>
        <v>34847.4</v>
      </c>
      <c r="L76" s="17"/>
      <c r="M76" s="15">
        <f>ROUND(M75*12,2)</f>
        <v>32019.360000000001</v>
      </c>
      <c r="N76" s="17"/>
      <c r="O76" s="15">
        <f>ROUND(O75*12,2)</f>
        <v>32019.360000000001</v>
      </c>
      <c r="P76" s="17"/>
      <c r="Q76" s="7">
        <f>ROUND(Q75*12,2)</f>
        <v>34847.4</v>
      </c>
    </row>
    <row r="77" spans="1:17" ht="30" x14ac:dyDescent="0.25">
      <c r="A77" s="3">
        <v>6</v>
      </c>
      <c r="B77" s="6" t="s">
        <v>7</v>
      </c>
      <c r="C77" s="6" t="s">
        <v>10</v>
      </c>
      <c r="D77" s="18">
        <v>1</v>
      </c>
      <c r="E77" s="7">
        <f>ROUND(5194*D77*1.01075,0)</f>
        <v>5250</v>
      </c>
      <c r="F77" s="18">
        <v>1.25</v>
      </c>
      <c r="G77" s="7">
        <f>ROUND(5194*F77*1.01075,0)</f>
        <v>6562</v>
      </c>
      <c r="H77" s="18">
        <v>1.25</v>
      </c>
      <c r="I77" s="7">
        <f>ROUND(5194*H77*1.01075,0)</f>
        <v>6562</v>
      </c>
      <c r="J77" s="18">
        <v>1.25</v>
      </c>
      <c r="K77" s="7">
        <f>ROUND(5194*J77*1.01075,0)</f>
        <v>6562</v>
      </c>
      <c r="L77" s="18">
        <v>1.5</v>
      </c>
      <c r="M77" s="7">
        <f>ROUND(5194*L77*1.01075,0)</f>
        <v>7875</v>
      </c>
      <c r="N77" s="18">
        <v>1.25</v>
      </c>
      <c r="O77" s="7">
        <f>ROUND(5194*N77*1.01075,0)</f>
        <v>6562</v>
      </c>
      <c r="P77" s="18">
        <v>1.25</v>
      </c>
      <c r="Q77" s="7">
        <f>ROUND(5194*P77*1.01075,0)</f>
        <v>6562</v>
      </c>
    </row>
    <row r="78" spans="1:17" ht="30" x14ac:dyDescent="0.25">
      <c r="A78" s="3"/>
      <c r="B78" s="6"/>
      <c r="C78" s="6" t="s">
        <v>53</v>
      </c>
      <c r="D78" s="18"/>
      <c r="E78" s="7"/>
      <c r="F78" s="18"/>
      <c r="G78" s="7"/>
      <c r="H78" s="18"/>
      <c r="I78" s="7"/>
      <c r="J78" s="18"/>
      <c r="K78" s="7">
        <f>ROUND(K77*0.2,2)</f>
        <v>1312.4</v>
      </c>
      <c r="L78" s="18"/>
      <c r="M78" s="15"/>
      <c r="N78" s="18"/>
      <c r="O78" s="15"/>
      <c r="P78" s="18"/>
      <c r="Q78" s="7">
        <f>ROUND(Q77*0.2,2)</f>
        <v>1312.4</v>
      </c>
    </row>
    <row r="79" spans="1:17" ht="45" x14ac:dyDescent="0.25">
      <c r="A79" s="4"/>
      <c r="B79" s="4"/>
      <c r="C79" s="6" t="s">
        <v>54</v>
      </c>
      <c r="D79" s="4"/>
      <c r="E79" s="7">
        <f>ROUND(E77*0.3,0)</f>
        <v>1575</v>
      </c>
      <c r="F79" s="4"/>
      <c r="G79" s="7">
        <f>ROUND(G77*0.3,0)</f>
        <v>1969</v>
      </c>
      <c r="H79" s="4"/>
      <c r="I79" s="7">
        <f>ROUND(I77*0.3,0)</f>
        <v>1969</v>
      </c>
      <c r="J79" s="17"/>
      <c r="K79" s="7">
        <f>ROUND(K77*0.3,0)</f>
        <v>1969</v>
      </c>
      <c r="L79" s="17"/>
      <c r="M79" s="15">
        <f>ROUND(M77*0.3,0)</f>
        <v>2363</v>
      </c>
      <c r="N79" s="17"/>
      <c r="O79" s="15">
        <f>ROUND(O77*0.3,0)</f>
        <v>1969</v>
      </c>
      <c r="P79" s="17"/>
      <c r="Q79" s="7">
        <f>ROUND(Q77*0.3,0)</f>
        <v>1969</v>
      </c>
    </row>
    <row r="80" spans="1:17" ht="45" x14ac:dyDescent="0.25">
      <c r="A80" s="4"/>
      <c r="B80" s="4"/>
      <c r="C80" s="6" t="s">
        <v>11</v>
      </c>
      <c r="D80" s="4"/>
      <c r="E80" s="7">
        <f>ROUND((E77)*0.05,2)</f>
        <v>262.5</v>
      </c>
      <c r="F80" s="7"/>
      <c r="G80" s="7">
        <f t="shared" ref="G80:Q80" si="37">ROUND((G77)*0.05,2)</f>
        <v>328.1</v>
      </c>
      <c r="H80" s="7"/>
      <c r="I80" s="7">
        <f t="shared" si="37"/>
        <v>328.1</v>
      </c>
      <c r="J80" s="7"/>
      <c r="K80" s="7">
        <f t="shared" si="37"/>
        <v>328.1</v>
      </c>
      <c r="L80" s="7"/>
      <c r="M80" s="7">
        <f t="shared" si="37"/>
        <v>393.75</v>
      </c>
      <c r="N80" s="7"/>
      <c r="O80" s="7">
        <f t="shared" si="37"/>
        <v>328.1</v>
      </c>
      <c r="P80" s="7"/>
      <c r="Q80" s="7">
        <f t="shared" si="37"/>
        <v>328.1</v>
      </c>
    </row>
    <row r="81" spans="1:17" ht="30.75" customHeight="1" x14ac:dyDescent="0.25">
      <c r="A81" s="4"/>
      <c r="B81" s="4"/>
      <c r="C81" s="6" t="s">
        <v>34</v>
      </c>
      <c r="D81" s="4"/>
      <c r="E81" s="7">
        <f>ROUND(E77*0.2,2)</f>
        <v>1050</v>
      </c>
      <c r="F81" s="7"/>
      <c r="G81" s="7">
        <f t="shared" ref="G81:Q81" si="38">ROUND(G77*0.2,2)</f>
        <v>1312.4</v>
      </c>
      <c r="H81" s="7"/>
      <c r="I81" s="7">
        <f t="shared" si="38"/>
        <v>1312.4</v>
      </c>
      <c r="J81" s="7"/>
      <c r="K81" s="7">
        <f t="shared" si="38"/>
        <v>1312.4</v>
      </c>
      <c r="L81" s="7"/>
      <c r="M81" s="7">
        <f t="shared" si="38"/>
        <v>1575</v>
      </c>
      <c r="N81" s="7"/>
      <c r="O81" s="7">
        <f t="shared" si="38"/>
        <v>1312.4</v>
      </c>
      <c r="P81" s="7"/>
      <c r="Q81" s="7">
        <f t="shared" si="38"/>
        <v>1312.4</v>
      </c>
    </row>
    <row r="82" spans="1:17" x14ac:dyDescent="0.25">
      <c r="A82" s="4"/>
      <c r="B82" s="4"/>
      <c r="C82" s="4" t="s">
        <v>12</v>
      </c>
      <c r="D82" s="4"/>
      <c r="E82" s="7">
        <f>ROUND((E77+E78+E79+E80+E81)*0.05,0)</f>
        <v>407</v>
      </c>
      <c r="F82" s="7"/>
      <c r="G82" s="7">
        <f t="shared" ref="G82:Q82" si="39">ROUND((G77+G78+G79+G80+G81)*0.05,0)</f>
        <v>509</v>
      </c>
      <c r="H82" s="7"/>
      <c r="I82" s="7">
        <f t="shared" si="39"/>
        <v>509</v>
      </c>
      <c r="J82" s="7"/>
      <c r="K82" s="7">
        <f t="shared" si="39"/>
        <v>574</v>
      </c>
      <c r="L82" s="7"/>
      <c r="M82" s="7">
        <f t="shared" si="39"/>
        <v>610</v>
      </c>
      <c r="N82" s="7"/>
      <c r="O82" s="7">
        <f t="shared" si="39"/>
        <v>509</v>
      </c>
      <c r="P82" s="7"/>
      <c r="Q82" s="7">
        <f t="shared" si="39"/>
        <v>574</v>
      </c>
    </row>
    <row r="83" spans="1:17" x14ac:dyDescent="0.25">
      <c r="A83" s="4"/>
      <c r="B83" s="4"/>
      <c r="C83" s="4" t="s">
        <v>13</v>
      </c>
      <c r="D83" s="4"/>
      <c r="E83" s="7">
        <f>ROUND((E77+E78+E79+E80+E81)*0.01,2)</f>
        <v>81.38</v>
      </c>
      <c r="F83" s="7"/>
      <c r="G83" s="7">
        <f t="shared" ref="G83:Q83" si="40">ROUND((G77+G78+G79+G80+G81)*0.01,2)</f>
        <v>101.72</v>
      </c>
      <c r="H83" s="7"/>
      <c r="I83" s="7">
        <f t="shared" si="40"/>
        <v>101.72</v>
      </c>
      <c r="J83" s="7"/>
      <c r="K83" s="7">
        <f t="shared" si="40"/>
        <v>114.84</v>
      </c>
      <c r="L83" s="7"/>
      <c r="M83" s="7">
        <f t="shared" si="40"/>
        <v>122.07</v>
      </c>
      <c r="N83" s="7"/>
      <c r="O83" s="7">
        <f t="shared" si="40"/>
        <v>101.72</v>
      </c>
      <c r="P83" s="7"/>
      <c r="Q83" s="7">
        <f t="shared" si="40"/>
        <v>114.84</v>
      </c>
    </row>
    <row r="84" spans="1:17" x14ac:dyDescent="0.25">
      <c r="A84" s="4"/>
      <c r="B84" s="4"/>
      <c r="C84" s="4" t="s">
        <v>32</v>
      </c>
      <c r="D84" s="4"/>
      <c r="E84" s="7">
        <f>ROUND((11280-(E77+E78+E79+E80+E82+E81)/D77)*D77,2)</f>
        <v>2735.5</v>
      </c>
      <c r="F84" s="7"/>
      <c r="G84" s="7">
        <f>ROUND((11280-(G77+G78+G79+G80+G82+G81)/F77)*F77,2)</f>
        <v>3419.5</v>
      </c>
      <c r="H84" s="7"/>
      <c r="I84" s="7">
        <f>ROUND((11280-(I77+I78+I79+I80+I82+I81)/H77)*H77,2)</f>
        <v>3419.5</v>
      </c>
      <c r="J84" s="7"/>
      <c r="K84" s="7">
        <f>ROUND((11280-(K77+K78+K79+K80+K82+K81)/J77)*J77,2)</f>
        <v>2042.1</v>
      </c>
      <c r="L84" s="7"/>
      <c r="M84" s="7">
        <f>ROUND((11280-(M77+M78+M79+M80+M82+M81)/L77)*L77,2)</f>
        <v>4103.25</v>
      </c>
      <c r="N84" s="7"/>
      <c r="O84" s="7">
        <f>ROUND((11280-(O77+O78+O79+O80+O82+O81)/N77)*N77,2)</f>
        <v>3419.5</v>
      </c>
      <c r="P84" s="7"/>
      <c r="Q84" s="7">
        <f>ROUND((11280-(Q77+Q78+Q79+Q80+Q82+Q81)/P77)*P77,2)</f>
        <v>2042.1</v>
      </c>
    </row>
    <row r="85" spans="1:17" x14ac:dyDescent="0.25">
      <c r="A85" s="4"/>
      <c r="B85" s="4"/>
      <c r="C85" s="4" t="s">
        <v>33</v>
      </c>
      <c r="D85" s="4"/>
      <c r="E85" s="7">
        <f>ROUND(11280/29.3*28*D77/365*28,2)</f>
        <v>826.92</v>
      </c>
      <c r="F85" s="7"/>
      <c r="G85" s="7">
        <f>ROUND(11280/29.3*28*F77/365*28,2)</f>
        <v>1033.6500000000001</v>
      </c>
      <c r="H85" s="7"/>
      <c r="I85" s="7">
        <f>ROUND(11280/29.3*28*H77/365*28,2)</f>
        <v>1033.6500000000001</v>
      </c>
      <c r="J85" s="7"/>
      <c r="K85" s="7">
        <f>ROUND(11280/29.3*28*J77/365*28,2)</f>
        <v>1033.6500000000001</v>
      </c>
      <c r="L85" s="7"/>
      <c r="M85" s="7">
        <f>ROUND(11280/29.3*28*L77/365*28,2)</f>
        <v>1240.3800000000001</v>
      </c>
      <c r="N85" s="7"/>
      <c r="O85" s="7">
        <f>ROUND(11280/29.3*28*N77/365*28,2)</f>
        <v>1033.6500000000001</v>
      </c>
      <c r="P85" s="7"/>
      <c r="Q85" s="7">
        <f>ROUND(11280/29.3*28*P77/365*28,2)</f>
        <v>1033.6500000000001</v>
      </c>
    </row>
    <row r="86" spans="1:17" ht="30" x14ac:dyDescent="0.25">
      <c r="A86" s="4"/>
      <c r="B86" s="4"/>
      <c r="C86" s="6" t="s">
        <v>14</v>
      </c>
      <c r="D86" s="4"/>
      <c r="E86" s="7">
        <f>ROUND((E77+E78+E79+E80+E82+E83+E84+E85+E81)*0.302,0)</f>
        <v>3681</v>
      </c>
      <c r="F86" s="7"/>
      <c r="G86" s="7">
        <f t="shared" ref="G86:Q86" si="41">ROUND((G77+G78+G79+G80+G82+G83+G84+G85+G81)*0.302,0)</f>
        <v>4601</v>
      </c>
      <c r="H86" s="7"/>
      <c r="I86" s="7">
        <f t="shared" si="41"/>
        <v>4601</v>
      </c>
      <c r="J86" s="7"/>
      <c r="K86" s="7">
        <f t="shared" si="41"/>
        <v>4605</v>
      </c>
      <c r="L86" s="7"/>
      <c r="M86" s="7">
        <f t="shared" si="41"/>
        <v>5521</v>
      </c>
      <c r="N86" s="7"/>
      <c r="O86" s="7">
        <f t="shared" si="41"/>
        <v>4601</v>
      </c>
      <c r="P86" s="7"/>
      <c r="Q86" s="7">
        <f t="shared" si="41"/>
        <v>4605</v>
      </c>
    </row>
    <row r="87" spans="1:17" ht="30" x14ac:dyDescent="0.25">
      <c r="A87" s="4"/>
      <c r="B87" s="4"/>
      <c r="C87" s="6" t="s">
        <v>25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0" t="s">
        <v>15</v>
      </c>
      <c r="D88" s="4"/>
      <c r="E88" s="7">
        <f>E77+E78+E79+E80+E82+E83+E86+E84+E85+E81</f>
        <v>15869.300000000001</v>
      </c>
      <c r="F88" s="7"/>
      <c r="G88" s="7">
        <f t="shared" ref="G88:Q88" si="42">G77+G78+G79+G80+G82+G83+G86+G84+G85+G81</f>
        <v>19836.370000000003</v>
      </c>
      <c r="H88" s="7"/>
      <c r="I88" s="7">
        <f t="shared" si="42"/>
        <v>19836.370000000003</v>
      </c>
      <c r="J88" s="7"/>
      <c r="K88" s="7">
        <f t="shared" si="42"/>
        <v>19853.490000000002</v>
      </c>
      <c r="L88" s="7"/>
      <c r="M88" s="7">
        <f t="shared" si="42"/>
        <v>23803.45</v>
      </c>
      <c r="N88" s="7"/>
      <c r="O88" s="7">
        <f t="shared" si="42"/>
        <v>19836.370000000003</v>
      </c>
      <c r="P88" s="7"/>
      <c r="Q88" s="7">
        <f t="shared" si="42"/>
        <v>19853.490000000002</v>
      </c>
    </row>
    <row r="89" spans="1:17" x14ac:dyDescent="0.25">
      <c r="A89" s="4"/>
      <c r="B89" s="4"/>
      <c r="C89" s="10" t="s">
        <v>16</v>
      </c>
      <c r="D89" s="4"/>
      <c r="E89" s="7">
        <f>ROUND(E88*12,0)</f>
        <v>190432</v>
      </c>
      <c r="F89" s="4"/>
      <c r="G89" s="7">
        <f>ROUND(G88*12,0)</f>
        <v>238036</v>
      </c>
      <c r="H89" s="4"/>
      <c r="I89" s="7">
        <f>ROUND(I88*12,0)</f>
        <v>238036</v>
      </c>
      <c r="J89" s="17"/>
      <c r="K89" s="7">
        <f>ROUND(K88*12,0)</f>
        <v>238242</v>
      </c>
      <c r="L89" s="17"/>
      <c r="M89" s="15">
        <f>ROUND(M88*12,0)</f>
        <v>285641</v>
      </c>
      <c r="N89" s="17"/>
      <c r="O89" s="15">
        <f>ROUND(O88*12,0)</f>
        <v>238036</v>
      </c>
      <c r="P89" s="17"/>
      <c r="Q89" s="7">
        <f>ROUND(Q88*12,0)</f>
        <v>238242</v>
      </c>
    </row>
    <row r="90" spans="1:17" ht="45.75" customHeight="1" x14ac:dyDescent="0.25">
      <c r="A90" s="3">
        <v>7</v>
      </c>
      <c r="B90" s="6" t="s">
        <v>36</v>
      </c>
      <c r="C90" s="6" t="s">
        <v>37</v>
      </c>
      <c r="D90" s="18">
        <v>1</v>
      </c>
      <c r="E90" s="7">
        <f>ROUND(3880*D90*1.01075,0)</f>
        <v>3922</v>
      </c>
      <c r="F90" s="18">
        <v>1</v>
      </c>
      <c r="G90" s="7">
        <f>ROUND(3880*F90*1.01075,0)</f>
        <v>3922</v>
      </c>
      <c r="H90" s="18">
        <v>1</v>
      </c>
      <c r="I90" s="7">
        <f>ROUND(3880*H90*1.01075,0)</f>
        <v>3922</v>
      </c>
      <c r="J90" s="18">
        <v>1</v>
      </c>
      <c r="K90" s="7">
        <f>ROUND(3880*J90*1.01075,0)</f>
        <v>3922</v>
      </c>
      <c r="L90" s="18">
        <v>1</v>
      </c>
      <c r="M90" s="7">
        <f>ROUND(3880*L90*1.01075,0)</f>
        <v>3922</v>
      </c>
      <c r="N90" s="18">
        <v>1</v>
      </c>
      <c r="O90" s="7">
        <f>ROUND(3880*N90*1.01075,0)</f>
        <v>3922</v>
      </c>
      <c r="P90" s="18">
        <v>1</v>
      </c>
      <c r="Q90" s="7">
        <f>ROUND(3880*P90*1.01075,0)</f>
        <v>3922</v>
      </c>
    </row>
    <row r="91" spans="1:17" ht="45" x14ac:dyDescent="0.25">
      <c r="A91" s="4"/>
      <c r="B91" s="4"/>
      <c r="C91" s="6" t="s">
        <v>11</v>
      </c>
      <c r="D91" s="4"/>
      <c r="E91" s="7">
        <f>ROUND((E90)*0.05,2)</f>
        <v>196.1</v>
      </c>
      <c r="F91" s="7"/>
      <c r="G91" s="7">
        <f t="shared" ref="G91:Q91" si="43">ROUND((G90)*0.05,2)</f>
        <v>196.1</v>
      </c>
      <c r="H91" s="7"/>
      <c r="I91" s="7">
        <f t="shared" si="43"/>
        <v>196.1</v>
      </c>
      <c r="J91" s="7"/>
      <c r="K91" s="7">
        <f t="shared" si="43"/>
        <v>196.1</v>
      </c>
      <c r="L91" s="7"/>
      <c r="M91" s="7">
        <f t="shared" si="43"/>
        <v>196.1</v>
      </c>
      <c r="N91" s="7"/>
      <c r="O91" s="7">
        <f t="shared" si="43"/>
        <v>196.1</v>
      </c>
      <c r="P91" s="7"/>
      <c r="Q91" s="7">
        <f t="shared" si="43"/>
        <v>196.1</v>
      </c>
    </row>
    <row r="92" spans="1:17" ht="30.75" customHeight="1" x14ac:dyDescent="0.25">
      <c r="A92" s="4"/>
      <c r="B92" s="4"/>
      <c r="C92" s="6" t="s">
        <v>38</v>
      </c>
      <c r="D92" s="4"/>
      <c r="E92" s="7">
        <f>ROUND(E90*0.2,2)</f>
        <v>784.4</v>
      </c>
      <c r="F92" s="7"/>
      <c r="G92" s="7">
        <f t="shared" ref="G92:Q92" si="44">ROUND(G90*0.2,2)</f>
        <v>784.4</v>
      </c>
      <c r="H92" s="7"/>
      <c r="I92" s="7">
        <f t="shared" si="44"/>
        <v>784.4</v>
      </c>
      <c r="J92" s="7"/>
      <c r="K92" s="7">
        <f t="shared" si="44"/>
        <v>784.4</v>
      </c>
      <c r="L92" s="7"/>
      <c r="M92" s="7">
        <f t="shared" si="44"/>
        <v>784.4</v>
      </c>
      <c r="N92" s="7"/>
      <c r="O92" s="7">
        <f t="shared" si="44"/>
        <v>784.4</v>
      </c>
      <c r="P92" s="7"/>
      <c r="Q92" s="7">
        <f t="shared" si="44"/>
        <v>784.4</v>
      </c>
    </row>
    <row r="93" spans="1:17" x14ac:dyDescent="0.25">
      <c r="A93" s="4"/>
      <c r="B93" s="4"/>
      <c r="C93" s="4" t="s">
        <v>12</v>
      </c>
      <c r="D93" s="4"/>
      <c r="E93" s="7">
        <f>ROUND((E90+E91+E92)*0.05,0)</f>
        <v>245</v>
      </c>
      <c r="F93" s="7"/>
      <c r="G93" s="7">
        <f t="shared" ref="G93:Q93" si="45">ROUND((G90+G91+G92)*0.05,0)</f>
        <v>245</v>
      </c>
      <c r="H93" s="7"/>
      <c r="I93" s="7">
        <f t="shared" si="45"/>
        <v>245</v>
      </c>
      <c r="J93" s="7"/>
      <c r="K93" s="7">
        <f t="shared" si="45"/>
        <v>245</v>
      </c>
      <c r="L93" s="7"/>
      <c r="M93" s="7">
        <f t="shared" si="45"/>
        <v>245</v>
      </c>
      <c r="N93" s="7"/>
      <c r="O93" s="7">
        <f t="shared" si="45"/>
        <v>245</v>
      </c>
      <c r="P93" s="7"/>
      <c r="Q93" s="7">
        <f t="shared" si="45"/>
        <v>245</v>
      </c>
    </row>
    <row r="94" spans="1:17" x14ac:dyDescent="0.25">
      <c r="A94" s="4"/>
      <c r="B94" s="4"/>
      <c r="C94" s="4" t="s">
        <v>13</v>
      </c>
      <c r="D94" s="4"/>
      <c r="E94" s="7">
        <f>ROUND((E90+E91+E92)*0.01,2)</f>
        <v>49.03</v>
      </c>
      <c r="F94" s="7"/>
      <c r="G94" s="7">
        <f t="shared" ref="G94:Q94" si="46">ROUND((G90+G91+G92)*0.01,2)</f>
        <v>49.03</v>
      </c>
      <c r="H94" s="7"/>
      <c r="I94" s="7">
        <f t="shared" si="46"/>
        <v>49.03</v>
      </c>
      <c r="J94" s="7"/>
      <c r="K94" s="7">
        <f t="shared" si="46"/>
        <v>49.03</v>
      </c>
      <c r="L94" s="7"/>
      <c r="M94" s="7">
        <f t="shared" si="46"/>
        <v>49.03</v>
      </c>
      <c r="N94" s="7"/>
      <c r="O94" s="7">
        <f t="shared" si="46"/>
        <v>49.03</v>
      </c>
      <c r="P94" s="7"/>
      <c r="Q94" s="7">
        <f t="shared" si="46"/>
        <v>49.03</v>
      </c>
    </row>
    <row r="95" spans="1:17" x14ac:dyDescent="0.25">
      <c r="A95" s="4"/>
      <c r="B95" s="4"/>
      <c r="C95" s="4" t="s">
        <v>32</v>
      </c>
      <c r="D95" s="4"/>
      <c r="E95" s="7">
        <f>ROUND((11280-(E90+E91+E93+E92)/D90)*D90,2)</f>
        <v>6132.5</v>
      </c>
      <c r="F95" s="7"/>
      <c r="G95" s="7">
        <f>ROUND((11280-(G90+G91+G93+G92)/F90)*F90,2)</f>
        <v>6132.5</v>
      </c>
      <c r="H95" s="7"/>
      <c r="I95" s="7">
        <f>ROUND((11280-(I90+I91+I93+I92)/H90)*H90,2)</f>
        <v>6132.5</v>
      </c>
      <c r="J95" s="7"/>
      <c r="K95" s="7">
        <f>ROUND((11280-(K90+K91+K93+K92)/J90)*J90,2)</f>
        <v>6132.5</v>
      </c>
      <c r="L95" s="7"/>
      <c r="M95" s="7">
        <f>ROUND((11280-(M90+M91+M93+M92)/L90)*L90,2)</f>
        <v>6132.5</v>
      </c>
      <c r="N95" s="7"/>
      <c r="O95" s="7">
        <f>ROUND((11280-(O90+O91+O93+O92)/N90)*N90,2)</f>
        <v>6132.5</v>
      </c>
      <c r="P95" s="7"/>
      <c r="Q95" s="7">
        <f>ROUND((11280-(Q90+Q91+Q93+Q92)/P90)*P90,2)</f>
        <v>6132.5</v>
      </c>
    </row>
    <row r="96" spans="1:17" x14ac:dyDescent="0.25">
      <c r="A96" s="4"/>
      <c r="B96" s="4"/>
      <c r="C96" s="4" t="s">
        <v>33</v>
      </c>
      <c r="D96" s="4"/>
      <c r="E96" s="7">
        <f>ROUND(11280/29.3*28*D90/365*28,2)</f>
        <v>826.92</v>
      </c>
      <c r="F96" s="7"/>
      <c r="G96" s="7">
        <f>ROUND(11280/29.3*28*F90/365*28,2)</f>
        <v>826.92</v>
      </c>
      <c r="H96" s="7"/>
      <c r="I96" s="7">
        <f>ROUND(11280/29.3*28*H90/365*28,2)</f>
        <v>826.92</v>
      </c>
      <c r="J96" s="7"/>
      <c r="K96" s="7">
        <f>ROUND(11280/29.3*28*J90/365*28,2)</f>
        <v>826.92</v>
      </c>
      <c r="L96" s="7"/>
      <c r="M96" s="7">
        <f>ROUND(11280/29.3*28*L90/365*28,2)</f>
        <v>826.92</v>
      </c>
      <c r="N96" s="7"/>
      <c r="O96" s="7">
        <f>ROUND(11280/29.3*28*N90/365*28,2)</f>
        <v>826.92</v>
      </c>
      <c r="P96" s="7"/>
      <c r="Q96" s="7">
        <f>ROUND(11280/29.3*28*P90/365*28,2)</f>
        <v>826.92</v>
      </c>
    </row>
    <row r="97" spans="1:19" ht="30" x14ac:dyDescent="0.25">
      <c r="A97" s="4"/>
      <c r="B97" s="4"/>
      <c r="C97" s="6" t="s">
        <v>14</v>
      </c>
      <c r="D97" s="4"/>
      <c r="E97" s="7">
        <f>ROUND((E90+E91+E93+E94+E95+E96+E92)*0.302,0)</f>
        <v>3671</v>
      </c>
      <c r="F97" s="7"/>
      <c r="G97" s="7">
        <f t="shared" ref="G97:Q97" si="47">ROUND((G90+G91+G93+G94+G95+G96+G92)*0.302,0)</f>
        <v>3671</v>
      </c>
      <c r="H97" s="7"/>
      <c r="I97" s="7">
        <f t="shared" si="47"/>
        <v>3671</v>
      </c>
      <c r="J97" s="7"/>
      <c r="K97" s="7">
        <f t="shared" si="47"/>
        <v>3671</v>
      </c>
      <c r="L97" s="7"/>
      <c r="M97" s="7">
        <f t="shared" si="47"/>
        <v>3671</v>
      </c>
      <c r="N97" s="7"/>
      <c r="O97" s="7">
        <f t="shared" si="47"/>
        <v>3671</v>
      </c>
      <c r="P97" s="7"/>
      <c r="Q97" s="7">
        <f t="shared" si="47"/>
        <v>3671</v>
      </c>
    </row>
    <row r="98" spans="1:19" ht="30" x14ac:dyDescent="0.25">
      <c r="A98" s="4"/>
      <c r="B98" s="4"/>
      <c r="C98" s="6" t="s">
        <v>39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0" t="s">
        <v>15</v>
      </c>
      <c r="D99" s="4"/>
      <c r="E99" s="7">
        <f>E90+E91+E93+E94+E97+E95+E96+E92</f>
        <v>15826.95</v>
      </c>
      <c r="F99" s="7"/>
      <c r="G99" s="7">
        <f t="shared" ref="G99:Q99" si="48">G90+G91+G93+G94+G97+G95+G96+G92</f>
        <v>15826.95</v>
      </c>
      <c r="H99" s="7"/>
      <c r="I99" s="7">
        <f t="shared" si="48"/>
        <v>15826.95</v>
      </c>
      <c r="J99" s="7"/>
      <c r="K99" s="7">
        <f t="shared" si="48"/>
        <v>15826.95</v>
      </c>
      <c r="L99" s="7"/>
      <c r="M99" s="7">
        <f t="shared" si="48"/>
        <v>15826.95</v>
      </c>
      <c r="N99" s="7"/>
      <c r="O99" s="7">
        <f t="shared" si="48"/>
        <v>15826.95</v>
      </c>
      <c r="P99" s="7"/>
      <c r="Q99" s="7">
        <f t="shared" si="48"/>
        <v>15826.95</v>
      </c>
    </row>
    <row r="100" spans="1:19" x14ac:dyDescent="0.25">
      <c r="A100" s="4"/>
      <c r="B100" s="4"/>
      <c r="C100" s="10" t="s">
        <v>16</v>
      </c>
      <c r="D100" s="4"/>
      <c r="E100" s="7">
        <f>ROUND(E99*12,0)</f>
        <v>189923</v>
      </c>
      <c r="F100" s="7"/>
      <c r="G100" s="7">
        <f t="shared" ref="G100:Q100" si="49">ROUND(G99*12,0)</f>
        <v>189923</v>
      </c>
      <c r="H100" s="7"/>
      <c r="I100" s="7">
        <f t="shared" si="49"/>
        <v>189923</v>
      </c>
      <c r="J100" s="7"/>
      <c r="K100" s="7">
        <f t="shared" si="49"/>
        <v>189923</v>
      </c>
      <c r="L100" s="7"/>
      <c r="M100" s="7">
        <f t="shared" si="49"/>
        <v>189923</v>
      </c>
      <c r="N100" s="7"/>
      <c r="O100" s="7">
        <f t="shared" si="49"/>
        <v>189923</v>
      </c>
      <c r="P100" s="7"/>
      <c r="Q100" s="7">
        <f t="shared" si="49"/>
        <v>189923</v>
      </c>
    </row>
    <row r="101" spans="1:19" ht="19.5" customHeight="1" x14ac:dyDescent="0.25">
      <c r="A101" s="4"/>
      <c r="B101" s="63" t="s">
        <v>29</v>
      </c>
      <c r="C101" s="64"/>
      <c r="D101" s="4"/>
      <c r="E101" s="4"/>
      <c r="F101" s="4"/>
      <c r="G101" s="4"/>
      <c r="H101" s="4"/>
      <c r="I101" s="4"/>
      <c r="J101" s="4"/>
      <c r="K101" s="4"/>
      <c r="L101" s="4"/>
      <c r="M101" s="17"/>
      <c r="N101" s="17"/>
      <c r="O101" s="17"/>
      <c r="P101" s="4"/>
      <c r="Q101" s="4"/>
    </row>
    <row r="102" spans="1:19" ht="36.75" customHeight="1" x14ac:dyDescent="0.25">
      <c r="A102" s="4"/>
      <c r="B102" s="6"/>
      <c r="C102" s="6" t="s">
        <v>58</v>
      </c>
      <c r="D102" s="7"/>
      <c r="E102" s="7">
        <f>ROUND((E19+E34+E48+E62+E76+E89+E100)*0.192,2)</f>
        <v>207629.29</v>
      </c>
      <c r="F102" s="7"/>
      <c r="G102" s="7">
        <f t="shared" ref="G102:Q102" si="50">ROUND((G19+G34+G48+G62+G76+G89+G100)*0.192,2)</f>
        <v>219908.25</v>
      </c>
      <c r="H102" s="7"/>
      <c r="I102" s="7">
        <f t="shared" si="50"/>
        <v>228327.25</v>
      </c>
      <c r="J102" s="7"/>
      <c r="K102" s="7">
        <f t="shared" si="50"/>
        <v>385927.76</v>
      </c>
      <c r="L102" s="7"/>
      <c r="M102" s="7">
        <f t="shared" si="50"/>
        <v>279408.14</v>
      </c>
      <c r="N102" s="7"/>
      <c r="O102" s="7">
        <f t="shared" si="50"/>
        <v>278686.98</v>
      </c>
      <c r="P102" s="7"/>
      <c r="Q102" s="7">
        <f t="shared" si="50"/>
        <v>417286.83</v>
      </c>
    </row>
    <row r="103" spans="1:19" ht="64.5" customHeight="1" x14ac:dyDescent="0.25">
      <c r="A103" s="4"/>
      <c r="B103" s="58" t="s">
        <v>31</v>
      </c>
      <c r="C103" s="62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60</v>
      </c>
      <c r="D104" s="7"/>
      <c r="E104" s="7">
        <f>ROUND((E19+E34+E48+E62+E76+E89+E100)*0.028,2)</f>
        <v>30279.27</v>
      </c>
      <c r="F104" s="7"/>
      <c r="G104" s="7">
        <f t="shared" ref="G104:Q104" si="51">ROUND((G19+G34+G48+G62+G76+G89+G100)*0.028,2)</f>
        <v>32069.95</v>
      </c>
      <c r="H104" s="7"/>
      <c r="I104" s="7">
        <f t="shared" si="51"/>
        <v>33297.72</v>
      </c>
      <c r="J104" s="7"/>
      <c r="K104" s="7">
        <f t="shared" si="51"/>
        <v>56281.13</v>
      </c>
      <c r="L104" s="7"/>
      <c r="M104" s="7">
        <f t="shared" si="51"/>
        <v>40747.019999999997</v>
      </c>
      <c r="N104" s="7"/>
      <c r="O104" s="7">
        <f t="shared" si="51"/>
        <v>40641.85</v>
      </c>
      <c r="P104" s="7"/>
      <c r="Q104" s="7">
        <f t="shared" si="51"/>
        <v>60854.33</v>
      </c>
    </row>
    <row r="105" spans="1:19" ht="66.75" customHeight="1" x14ac:dyDescent="0.25">
      <c r="A105" s="4"/>
      <c r="B105" s="58" t="s">
        <v>35</v>
      </c>
      <c r="C105" s="6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59</v>
      </c>
      <c r="D106" s="7"/>
      <c r="E106" s="7">
        <f>ROUND((E19+E34+E48+E62+E76+E89+E100)*0.038,2)</f>
        <v>41093.300000000003</v>
      </c>
      <c r="F106" s="7"/>
      <c r="G106" s="7">
        <f t="shared" ref="G106:Q106" si="52">ROUND((G19+G34+G48+G62+G76+G89+G100)*0.038,2)</f>
        <v>43523.51</v>
      </c>
      <c r="H106" s="7"/>
      <c r="I106" s="7">
        <f t="shared" si="52"/>
        <v>45189.77</v>
      </c>
      <c r="J106" s="7"/>
      <c r="K106" s="7">
        <f t="shared" si="52"/>
        <v>76381.539999999994</v>
      </c>
      <c r="L106" s="7"/>
      <c r="M106" s="7">
        <f t="shared" si="52"/>
        <v>55299.53</v>
      </c>
      <c r="N106" s="7"/>
      <c r="O106" s="7">
        <f t="shared" si="52"/>
        <v>55156.800000000003</v>
      </c>
      <c r="P106" s="7"/>
      <c r="Q106" s="7">
        <f t="shared" si="52"/>
        <v>82588.02</v>
      </c>
    </row>
    <row r="107" spans="1:19" ht="68.25" customHeight="1" x14ac:dyDescent="0.25">
      <c r="A107" s="4"/>
      <c r="B107" s="58" t="s">
        <v>30</v>
      </c>
      <c r="C107" s="62"/>
      <c r="D107" s="4"/>
      <c r="E107" s="22">
        <f>E19+E34+E48+E62+E76+E89+E100+E102+E104+E106</f>
        <v>1360404.4200000002</v>
      </c>
      <c r="F107" s="22"/>
      <c r="G107" s="22">
        <f t="shared" ref="G107:Q107" si="53">G19+G34+G48+G62+G76+G89+G100+G102+G104+G106</f>
        <v>1440857.19</v>
      </c>
      <c r="H107" s="22"/>
      <c r="I107" s="22">
        <f t="shared" si="53"/>
        <v>1496019.18</v>
      </c>
      <c r="J107" s="22"/>
      <c r="K107" s="22">
        <f t="shared" si="53"/>
        <v>2528630.83</v>
      </c>
      <c r="L107" s="22"/>
      <c r="M107" s="22">
        <f t="shared" si="53"/>
        <v>1830705.41</v>
      </c>
      <c r="N107" s="22"/>
      <c r="O107" s="22">
        <f t="shared" si="53"/>
        <v>1825980.31</v>
      </c>
      <c r="P107" s="22"/>
      <c r="Q107" s="22">
        <f t="shared" si="53"/>
        <v>2734098.1</v>
      </c>
    </row>
    <row r="108" spans="1:19" ht="22.5" customHeight="1" x14ac:dyDescent="0.25">
      <c r="A108" s="4"/>
      <c r="B108" s="69"/>
      <c r="C108" s="70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5"/>
      <c r="O108" s="7"/>
      <c r="P108" s="4"/>
      <c r="Q108" s="7"/>
    </row>
    <row r="109" spans="1:19" ht="35.25" customHeight="1" x14ac:dyDescent="0.25">
      <c r="A109" s="4"/>
      <c r="B109" s="58" t="s">
        <v>41</v>
      </c>
      <c r="C109" s="62"/>
      <c r="D109" s="25">
        <v>25</v>
      </c>
      <c r="E109" s="5">
        <f>ROUND(E107/D109,0)</f>
        <v>54416</v>
      </c>
      <c r="F109" s="25">
        <v>20</v>
      </c>
      <c r="G109" s="5">
        <f>ROUND(G107/F109,0)</f>
        <v>72043</v>
      </c>
      <c r="H109" s="25">
        <v>25</v>
      </c>
      <c r="I109" s="5">
        <f>ROUND(I107/H109,0)</f>
        <v>59841</v>
      </c>
      <c r="J109" s="25">
        <v>10</v>
      </c>
      <c r="K109" s="5">
        <f>ROUND(K107/J109,0)</f>
        <v>252863</v>
      </c>
      <c r="L109" s="25">
        <v>20</v>
      </c>
      <c r="M109" s="5">
        <f>ROUND(M107/L109,0)</f>
        <v>91535</v>
      </c>
      <c r="N109" s="26">
        <v>25</v>
      </c>
      <c r="O109" s="5">
        <f>ROUND(O107/N109,0)</f>
        <v>73039</v>
      </c>
      <c r="P109" s="26">
        <v>10</v>
      </c>
      <c r="Q109" s="5">
        <f>ROUND(Q107/P109,0)</f>
        <v>273410</v>
      </c>
      <c r="R109" s="27"/>
      <c r="S109" s="28"/>
    </row>
    <row r="110" spans="1:19" ht="46.5" customHeight="1" x14ac:dyDescent="0.25">
      <c r="A110" s="4"/>
      <c r="B110" s="58" t="s">
        <v>42</v>
      </c>
      <c r="C110" s="59"/>
      <c r="D110" s="4"/>
      <c r="E110" s="44">
        <v>54416</v>
      </c>
      <c r="F110" s="4"/>
      <c r="G110" s="44">
        <v>54416</v>
      </c>
      <c r="H110" s="4"/>
      <c r="I110" s="44">
        <v>54416</v>
      </c>
      <c r="J110" s="4"/>
      <c r="K110" s="44">
        <v>54416</v>
      </c>
      <c r="L110" s="4"/>
      <c r="M110" s="44">
        <v>54416</v>
      </c>
      <c r="N110" s="17"/>
      <c r="O110" s="44">
        <v>54416</v>
      </c>
      <c r="P110" s="4"/>
      <c r="Q110" s="44">
        <v>54416</v>
      </c>
    </row>
    <row r="111" spans="1:19" ht="84" customHeight="1" x14ac:dyDescent="0.25">
      <c r="A111" s="4"/>
      <c r="B111" s="60" t="s">
        <v>43</v>
      </c>
      <c r="C111" s="61"/>
      <c r="D111" s="4"/>
      <c r="E111" s="3">
        <f>ROUND(E109/E110,3)</f>
        <v>1</v>
      </c>
      <c r="F111" s="4"/>
      <c r="G111" s="3">
        <f>ROUND(G109/G110,3)</f>
        <v>1.3240000000000001</v>
      </c>
      <c r="H111" s="4"/>
      <c r="I111" s="3">
        <f>ROUND(I109/I110,3)</f>
        <v>1.1000000000000001</v>
      </c>
      <c r="J111" s="4"/>
      <c r="K111" s="3">
        <f>ROUND(K109/K110,3)</f>
        <v>4.6470000000000002</v>
      </c>
      <c r="L111" s="4"/>
      <c r="M111" s="3">
        <f>ROUND(M109/M110,3)</f>
        <v>1.6819999999999999</v>
      </c>
      <c r="N111" s="17"/>
      <c r="O111" s="3">
        <f>ROUND(O109/O110,3)</f>
        <v>1.3420000000000001</v>
      </c>
      <c r="P111" s="4"/>
      <c r="Q111" s="3">
        <f>ROUND(Q109/Q110,3)</f>
        <v>5.024</v>
      </c>
    </row>
  </sheetData>
  <mergeCells count="20">
    <mergeCell ref="N3:O3"/>
    <mergeCell ref="P3:Q3"/>
    <mergeCell ref="F3:G3"/>
    <mergeCell ref="A1:Q1"/>
    <mergeCell ref="B108:C108"/>
    <mergeCell ref="D2:Q2"/>
    <mergeCell ref="J3:K3"/>
    <mergeCell ref="D3:E3"/>
    <mergeCell ref="H3:I3"/>
    <mergeCell ref="L3:M3"/>
    <mergeCell ref="C2:C4"/>
    <mergeCell ref="B2:B4"/>
    <mergeCell ref="A2:A4"/>
    <mergeCell ref="B110:C110"/>
    <mergeCell ref="B111:C111"/>
    <mergeCell ref="B109:C109"/>
    <mergeCell ref="B101:C101"/>
    <mergeCell ref="B103:C103"/>
    <mergeCell ref="B105:C105"/>
    <mergeCell ref="B107:C107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view="pageBreakPreview" zoomScale="69" zoomScaleNormal="81" zoomScaleSheetLayoutView="69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3" sqref="D3:Q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19" customWidth="1"/>
    <col min="14" max="14" width="14.85546875" style="19" customWidth="1"/>
    <col min="15" max="15" width="15.7109375" style="19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22.5" customHeight="1" x14ac:dyDescent="0.25">
      <c r="A2" s="78"/>
      <c r="B2" s="78"/>
      <c r="C2" s="78"/>
      <c r="D2" s="57"/>
      <c r="E2" s="57"/>
      <c r="F2" s="57"/>
      <c r="G2" s="57"/>
      <c r="H2" s="57"/>
      <c r="I2" s="57"/>
      <c r="J2" s="57"/>
      <c r="K2" s="57"/>
      <c r="L2" s="57"/>
      <c r="M2" s="57"/>
      <c r="N2" s="77" t="s">
        <v>65</v>
      </c>
      <c r="O2" s="77"/>
      <c r="P2" s="77"/>
      <c r="Q2" s="77"/>
    </row>
    <row r="3" spans="1:17" ht="46.5" customHeight="1" x14ac:dyDescent="0.25">
      <c r="A3" s="74" t="s">
        <v>2</v>
      </c>
      <c r="B3" s="74" t="s">
        <v>0</v>
      </c>
      <c r="C3" s="74" t="s">
        <v>1</v>
      </c>
      <c r="D3" s="71" t="s">
        <v>66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1:17" s="2" customFormat="1" ht="51" customHeight="1" x14ac:dyDescent="0.25">
      <c r="A4" s="75"/>
      <c r="B4" s="75"/>
      <c r="C4" s="75"/>
      <c r="D4" s="67" t="s">
        <v>40</v>
      </c>
      <c r="E4" s="67"/>
      <c r="F4" s="67" t="s">
        <v>26</v>
      </c>
      <c r="G4" s="67"/>
      <c r="H4" s="71" t="s">
        <v>19</v>
      </c>
      <c r="I4" s="73"/>
      <c r="J4" s="65" t="s">
        <v>63</v>
      </c>
      <c r="K4" s="66"/>
      <c r="L4" s="67" t="s">
        <v>8</v>
      </c>
      <c r="M4" s="67"/>
      <c r="N4" s="65" t="s">
        <v>9</v>
      </c>
      <c r="O4" s="66"/>
      <c r="P4" s="65" t="s">
        <v>64</v>
      </c>
      <c r="Q4" s="66"/>
    </row>
    <row r="5" spans="1:17" ht="48.75" customHeight="1" x14ac:dyDescent="0.25">
      <c r="A5" s="76"/>
      <c r="B5" s="76"/>
      <c r="C5" s="76"/>
      <c r="D5" s="36" t="s">
        <v>5</v>
      </c>
      <c r="E5" s="34" t="s">
        <v>6</v>
      </c>
      <c r="F5" s="36" t="s">
        <v>5</v>
      </c>
      <c r="G5" s="34" t="s">
        <v>6</v>
      </c>
      <c r="H5" s="29" t="s">
        <v>5</v>
      </c>
      <c r="I5" s="30" t="s">
        <v>6</v>
      </c>
      <c r="J5" s="36" t="s">
        <v>5</v>
      </c>
      <c r="K5" s="34" t="s">
        <v>6</v>
      </c>
      <c r="L5" s="29" t="s">
        <v>5</v>
      </c>
      <c r="M5" s="31" t="s">
        <v>6</v>
      </c>
      <c r="N5" s="13" t="s">
        <v>5</v>
      </c>
      <c r="O5" s="31" t="s">
        <v>6</v>
      </c>
      <c r="P5" s="30" t="s">
        <v>5</v>
      </c>
      <c r="Q5" s="30" t="s">
        <v>6</v>
      </c>
    </row>
    <row r="6" spans="1:17" ht="45" x14ac:dyDescent="0.25">
      <c r="A6" s="3">
        <v>1</v>
      </c>
      <c r="B6" s="4" t="s">
        <v>3</v>
      </c>
      <c r="C6" s="6" t="s">
        <v>37</v>
      </c>
      <c r="D6" s="7">
        <v>1.25</v>
      </c>
      <c r="E6" s="7">
        <f>ROUND(8216*D6*1.01075,2)</f>
        <v>10380.4</v>
      </c>
      <c r="F6" s="7">
        <v>1.39</v>
      </c>
      <c r="G6" s="7">
        <f>ROUND(8216*F6*1.01075,2)</f>
        <v>11543.01</v>
      </c>
      <c r="H6" s="7">
        <v>1.39</v>
      </c>
      <c r="I6" s="7">
        <f>ROUND(8216*H6*1.01075,2)</f>
        <v>11543.01</v>
      </c>
      <c r="J6" s="15">
        <v>2</v>
      </c>
      <c r="K6" s="7">
        <f>ROUND(8216*J6*1.01075,2)</f>
        <v>16608.64</v>
      </c>
      <c r="L6" s="15">
        <v>2</v>
      </c>
      <c r="M6" s="7">
        <f>ROUND(8216*L6*1.01075,2)</f>
        <v>16608.64</v>
      </c>
      <c r="N6" s="15">
        <v>2</v>
      </c>
      <c r="O6" s="7">
        <f>ROUND(8216*N6*1.01075,2)</f>
        <v>16608.64</v>
      </c>
      <c r="P6" s="15">
        <v>2.4</v>
      </c>
      <c r="Q6" s="7">
        <f>ROUND(8216*P6*1.01075,2)</f>
        <v>19930.37</v>
      </c>
    </row>
    <row r="7" spans="1:17" ht="57" customHeight="1" x14ac:dyDescent="0.25">
      <c r="A7" s="3"/>
      <c r="B7" s="4"/>
      <c r="C7" s="6" t="s">
        <v>46</v>
      </c>
      <c r="D7" s="7"/>
      <c r="E7" s="7">
        <f>ROUND(E6*0.3,2)</f>
        <v>3114.12</v>
      </c>
      <c r="F7" s="7"/>
      <c r="G7" s="7">
        <f>ROUND(G6*0.3,2)</f>
        <v>3462.9</v>
      </c>
      <c r="H7" s="7"/>
      <c r="I7" s="7">
        <f>ROUND(I6*0.3,2)</f>
        <v>3462.9</v>
      </c>
      <c r="J7" s="15"/>
      <c r="K7" s="7">
        <f>ROUND(K6*0.3,2)</f>
        <v>4982.59</v>
      </c>
      <c r="L7" s="15"/>
      <c r="M7" s="15">
        <f>ROUND(M6*0.3,2)</f>
        <v>4982.59</v>
      </c>
      <c r="N7" s="15"/>
      <c r="O7" s="15">
        <f>ROUND(O6*0.3,2)</f>
        <v>4982.59</v>
      </c>
      <c r="P7" s="15"/>
      <c r="Q7" s="7">
        <f>ROUND(Q6*0.3,2)</f>
        <v>5979.11</v>
      </c>
    </row>
    <row r="8" spans="1:17" ht="55.5" customHeight="1" x14ac:dyDescent="0.25">
      <c r="A8" s="3"/>
      <c r="B8" s="4"/>
      <c r="C8" s="6" t="s">
        <v>45</v>
      </c>
      <c r="D8" s="7"/>
      <c r="E8" s="7"/>
      <c r="F8" s="7"/>
      <c r="G8" s="7"/>
      <c r="H8" s="7"/>
      <c r="I8" s="7"/>
      <c r="J8" s="15"/>
      <c r="K8" s="7">
        <f>ROUND((K6+K7)*0.2,2)</f>
        <v>4318.25</v>
      </c>
      <c r="L8" s="15"/>
      <c r="M8" s="15"/>
      <c r="N8" s="15"/>
      <c r="O8" s="15"/>
      <c r="P8" s="15"/>
      <c r="Q8" s="7">
        <f>ROUND((Q6+Q7)*0.2,2)</f>
        <v>5181.8999999999996</v>
      </c>
    </row>
    <row r="9" spans="1:17" ht="50.25" customHeight="1" x14ac:dyDescent="0.25">
      <c r="A9" s="4"/>
      <c r="B9" s="4"/>
      <c r="C9" s="6" t="s">
        <v>47</v>
      </c>
      <c r="D9" s="4"/>
      <c r="E9" s="7">
        <f>ROUND((E6+E7)*0.3,2)</f>
        <v>4048.36</v>
      </c>
      <c r="F9" s="5"/>
      <c r="G9" s="7">
        <f>ROUND((G6+G7)*0.3,2)</f>
        <v>4501.7700000000004</v>
      </c>
      <c r="H9" s="5"/>
      <c r="I9" s="7">
        <f>ROUND((I6+I7)*0.3,2)</f>
        <v>4501.7700000000004</v>
      </c>
      <c r="J9" s="16"/>
      <c r="K9" s="7">
        <f>ROUND((K6+K7)*0.3,2)</f>
        <v>6477.37</v>
      </c>
      <c r="L9" s="16"/>
      <c r="M9" s="15">
        <f>ROUND((M6+M7)*0.3,2)</f>
        <v>6477.37</v>
      </c>
      <c r="N9" s="16"/>
      <c r="O9" s="15">
        <f>ROUND((O6+O7)*0.3,2)</f>
        <v>6477.37</v>
      </c>
      <c r="P9" s="16"/>
      <c r="Q9" s="7">
        <f>ROUND((Q6+Q7)*0.3,2)</f>
        <v>7772.84</v>
      </c>
    </row>
    <row r="10" spans="1:17" ht="46.5" customHeight="1" x14ac:dyDescent="0.25">
      <c r="A10" s="4"/>
      <c r="B10" s="4"/>
      <c r="C10" s="6" t="s">
        <v>11</v>
      </c>
      <c r="D10" s="4"/>
      <c r="E10" s="7">
        <f t="shared" ref="E10" si="0">ROUND((E6+E7)*0.05,2)</f>
        <v>674.73</v>
      </c>
      <c r="F10" s="7"/>
      <c r="G10" s="7">
        <f>ROUND((G6+G7)*0.05,2)</f>
        <v>750.3</v>
      </c>
      <c r="H10" s="7"/>
      <c r="I10" s="7">
        <f>ROUND((I6+I7)*0.05,2)</f>
        <v>750.3</v>
      </c>
      <c r="J10" s="7"/>
      <c r="K10" s="7">
        <f>ROUND((K6+K7)*0.05,2)</f>
        <v>1079.56</v>
      </c>
      <c r="L10" s="7"/>
      <c r="M10" s="7">
        <f>ROUND((M6+M7)*0.05,2)</f>
        <v>1079.56</v>
      </c>
      <c r="N10" s="7"/>
      <c r="O10" s="7">
        <f>ROUND((O6+O7)*0.05,2)</f>
        <v>1079.56</v>
      </c>
      <c r="P10" s="7"/>
      <c r="Q10" s="7">
        <f>ROUND((Q6+Q7)*0.05,2)</f>
        <v>1295.47</v>
      </c>
    </row>
    <row r="11" spans="1:17" ht="61.5" customHeight="1" x14ac:dyDescent="0.25">
      <c r="A11" s="4"/>
      <c r="B11" s="4"/>
      <c r="C11" s="6" t="s">
        <v>48</v>
      </c>
      <c r="D11" s="4"/>
      <c r="E11" s="7">
        <f t="shared" ref="E11" si="1">ROUND(E6*0.4,2)</f>
        <v>4152.16</v>
      </c>
      <c r="F11" s="7"/>
      <c r="G11" s="7">
        <f>ROUND(G6*0.4,2)</f>
        <v>4617.2</v>
      </c>
      <c r="H11" s="7"/>
      <c r="I11" s="7">
        <f t="shared" ref="I11:Q11" si="2">ROUND(I6*0.4,2)</f>
        <v>4617.2</v>
      </c>
      <c r="J11" s="7"/>
      <c r="K11" s="7">
        <f t="shared" si="2"/>
        <v>6643.46</v>
      </c>
      <c r="L11" s="7"/>
      <c r="M11" s="7">
        <f t="shared" si="2"/>
        <v>6643.46</v>
      </c>
      <c r="N11" s="7"/>
      <c r="O11" s="7">
        <f t="shared" si="2"/>
        <v>6643.46</v>
      </c>
      <c r="P11" s="7"/>
      <c r="Q11" s="7">
        <f t="shared" si="2"/>
        <v>7972.15</v>
      </c>
    </row>
    <row r="12" spans="1:17" ht="39.75" customHeight="1" x14ac:dyDescent="0.25">
      <c r="A12" s="4"/>
      <c r="B12" s="4"/>
      <c r="C12" s="6" t="s">
        <v>61</v>
      </c>
      <c r="D12" s="4"/>
      <c r="E12" s="7">
        <f t="shared" ref="E12" si="3">ROUND(E6*0.2,2)</f>
        <v>2076.08</v>
      </c>
      <c r="F12" s="7"/>
      <c r="G12" s="7">
        <f>ROUND(G6*0.4,2)</f>
        <v>4617.2</v>
      </c>
      <c r="H12" s="7"/>
      <c r="I12" s="7">
        <f>ROUND(I6*0.4,2)</f>
        <v>4617.2</v>
      </c>
      <c r="J12" s="7"/>
      <c r="K12" s="7">
        <f>ROUND(K6*0.4,2)</f>
        <v>6643.46</v>
      </c>
      <c r="L12" s="7"/>
      <c r="M12" s="7">
        <f>ROUND(M6*0.4,2)</f>
        <v>6643.46</v>
      </c>
      <c r="N12" s="7"/>
      <c r="O12" s="7">
        <f>ROUND(O6*0.4,2)</f>
        <v>6643.46</v>
      </c>
      <c r="P12" s="7"/>
      <c r="Q12" s="7">
        <f>ROUND(Q6*0.4,2)</f>
        <v>7972.15</v>
      </c>
    </row>
    <row r="13" spans="1:17" ht="28.5" customHeight="1" x14ac:dyDescent="0.25">
      <c r="A13" s="4"/>
      <c r="B13" s="4"/>
      <c r="C13" s="4" t="s">
        <v>12</v>
      </c>
      <c r="D13" s="4"/>
      <c r="E13" s="7">
        <f t="shared" ref="E13" si="4">ROUND((E6+E7+E8+E9++E10+E11+E12)*0.05,2)</f>
        <v>1222.29</v>
      </c>
      <c r="F13" s="7"/>
      <c r="G13" s="7">
        <f>ROUND((G6+G7+G8+G9++G10+G11+G12)*0.05,2)</f>
        <v>1474.62</v>
      </c>
      <c r="H13" s="7"/>
      <c r="I13" s="7">
        <f t="shared" ref="I13:Q13" si="5">ROUND((I6+I7+I8+I9++I10+I11+I12)*0.05,2)</f>
        <v>1474.62</v>
      </c>
      <c r="J13" s="7"/>
      <c r="K13" s="7">
        <f t="shared" si="5"/>
        <v>2337.67</v>
      </c>
      <c r="L13" s="7"/>
      <c r="M13" s="7">
        <f t="shared" si="5"/>
        <v>2121.75</v>
      </c>
      <c r="N13" s="7"/>
      <c r="O13" s="7">
        <f t="shared" si="5"/>
        <v>2121.75</v>
      </c>
      <c r="P13" s="7"/>
      <c r="Q13" s="7">
        <f t="shared" si="5"/>
        <v>2805.2</v>
      </c>
    </row>
    <row r="14" spans="1:17" ht="24.75" customHeight="1" x14ac:dyDescent="0.25">
      <c r="A14" s="4"/>
      <c r="B14" s="4"/>
      <c r="C14" s="4" t="s">
        <v>13</v>
      </c>
      <c r="D14" s="4"/>
      <c r="E14" s="3">
        <f t="shared" ref="E14" si="6">ROUND((E6+E7+E8+E9+E10+E11+E12)*0.01,2)</f>
        <v>244.46</v>
      </c>
      <c r="F14" s="3"/>
      <c r="G14" s="3">
        <f>ROUND((G6+G7+G8+G9+G10+G11+G12)*0.01,2)</f>
        <v>294.92</v>
      </c>
      <c r="H14" s="3"/>
      <c r="I14" s="3">
        <f t="shared" ref="I14:Q14" si="7">ROUND((I6+I7+I8+I9+I10+I11+I12)*0.01,2)</f>
        <v>294.92</v>
      </c>
      <c r="J14" s="3"/>
      <c r="K14" s="3">
        <f t="shared" si="7"/>
        <v>467.53</v>
      </c>
      <c r="L14" s="3"/>
      <c r="M14" s="3">
        <f t="shared" si="7"/>
        <v>424.35</v>
      </c>
      <c r="N14" s="3"/>
      <c r="O14" s="3">
        <f t="shared" si="7"/>
        <v>424.35</v>
      </c>
      <c r="P14" s="3"/>
      <c r="Q14" s="3">
        <f t="shared" si="7"/>
        <v>561.04</v>
      </c>
    </row>
    <row r="15" spans="1:17" ht="24.75" customHeight="1" x14ac:dyDescent="0.25">
      <c r="A15" s="4"/>
      <c r="B15" s="4"/>
      <c r="C15" s="4" t="s">
        <v>33</v>
      </c>
      <c r="D15" s="4"/>
      <c r="E15" s="7">
        <f t="shared" ref="E15" si="8">ROUND(22165.64/29.3*42/12*D6,2)</f>
        <v>3309.72</v>
      </c>
      <c r="F15" s="7"/>
      <c r="G15" s="7">
        <f>ROUND(23687.14/29.3*42/12*F6,2)</f>
        <v>3933.04</v>
      </c>
      <c r="H15" s="7"/>
      <c r="I15" s="7">
        <f>ROUND(23687.14/29.3*42/12*H6,2)</f>
        <v>3933.04</v>
      </c>
      <c r="J15" s="7"/>
      <c r="K15" s="7">
        <f>ROUND(23687.14/29.3*56/12*J6,2)</f>
        <v>7545.39</v>
      </c>
      <c r="L15" s="7"/>
      <c r="M15" s="7">
        <f>ROUND(23687.14/29.3*42/12*L6,2)</f>
        <v>5659.04</v>
      </c>
      <c r="N15" s="7"/>
      <c r="O15" s="7">
        <f>ROUND(23687.14/29.3*42/12*N6,2)</f>
        <v>5659.04</v>
      </c>
      <c r="P15" s="7"/>
      <c r="Q15" s="7">
        <f>ROUND(23687.14/29.3*56/12*P6,2)</f>
        <v>9054.4699999999993</v>
      </c>
    </row>
    <row r="16" spans="1:17" ht="39" customHeight="1" x14ac:dyDescent="0.25">
      <c r="A16" s="4"/>
      <c r="B16" s="4"/>
      <c r="C16" s="6" t="s">
        <v>14</v>
      </c>
      <c r="D16" s="4"/>
      <c r="E16" s="11">
        <f t="shared" ref="E16" si="9">ROUND((E6+E7+E8+E9+E10+E11+E13+E14+E15+E12)*0.302,2)</f>
        <v>8825.14</v>
      </c>
      <c r="F16" s="11"/>
      <c r="G16" s="11">
        <f>ROUND((G6+G7+G8+G9+G10+G11+G13+G14+G15+G12)*0.302,2)</f>
        <v>10628.88</v>
      </c>
      <c r="H16" s="11"/>
      <c r="I16" s="11">
        <f t="shared" ref="I16:Q16" si="10">ROUND((I6+I7+I8+I9+I10+I11+I13+I14+I15+I12)*0.302,2)</f>
        <v>10628.88</v>
      </c>
      <c r="J16" s="11"/>
      <c r="K16" s="11">
        <f t="shared" si="10"/>
        <v>17245.38</v>
      </c>
      <c r="L16" s="11"/>
      <c r="M16" s="11">
        <f t="shared" si="10"/>
        <v>15293.35</v>
      </c>
      <c r="N16" s="11"/>
      <c r="O16" s="11">
        <f t="shared" si="10"/>
        <v>15293.35</v>
      </c>
      <c r="P16" s="11"/>
      <c r="Q16" s="11">
        <f t="shared" si="10"/>
        <v>20694.46</v>
      </c>
    </row>
    <row r="17" spans="1:17" ht="36" customHeight="1" x14ac:dyDescent="0.25">
      <c r="A17" s="4"/>
      <c r="B17" s="4"/>
      <c r="C17" s="6" t="s">
        <v>17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0" t="s">
        <v>15</v>
      </c>
      <c r="D18" s="4"/>
      <c r="E18" s="7">
        <f t="shared" ref="E18" si="11">E6+E7+E8+E9+E10+E11+E13+E14+E16+E15+E12</f>
        <v>38047.46</v>
      </c>
      <c r="F18" s="7"/>
      <c r="G18" s="7">
        <f>G6+G7+G8+G9+G10+G11+G13+G14+G16+G15+G12</f>
        <v>45823.839999999997</v>
      </c>
      <c r="H18" s="7"/>
      <c r="I18" s="7">
        <f t="shared" ref="I18:Q18" si="12">I6+I7+I8+I9+I10+I11+I13+I14+I16+I15+I12</f>
        <v>45823.839999999997</v>
      </c>
      <c r="J18" s="7"/>
      <c r="K18" s="7">
        <f t="shared" si="12"/>
        <v>74349.3</v>
      </c>
      <c r="L18" s="7"/>
      <c r="M18" s="7">
        <f t="shared" si="12"/>
        <v>65933.570000000007</v>
      </c>
      <c r="N18" s="7"/>
      <c r="O18" s="7">
        <f t="shared" si="12"/>
        <v>65933.570000000007</v>
      </c>
      <c r="P18" s="7"/>
      <c r="Q18" s="7">
        <f t="shared" si="12"/>
        <v>89219.16</v>
      </c>
    </row>
    <row r="19" spans="1:17" ht="24.75" customHeight="1" x14ac:dyDescent="0.25">
      <c r="A19" s="4"/>
      <c r="B19" s="4"/>
      <c r="C19" s="10" t="s">
        <v>16</v>
      </c>
      <c r="D19" s="4"/>
      <c r="E19" s="7">
        <f t="shared" ref="E19" si="13">ROUND(E18*12,2)</f>
        <v>456569.52</v>
      </c>
      <c r="F19" s="7"/>
      <c r="G19" s="7">
        <f>ROUND(G18*12,2)</f>
        <v>549886.07999999996</v>
      </c>
      <c r="H19" s="7"/>
      <c r="I19" s="7">
        <f t="shared" ref="I19:Q19" si="14">ROUND(I18*12,2)</f>
        <v>549886.07999999996</v>
      </c>
      <c r="J19" s="7"/>
      <c r="K19" s="7">
        <f t="shared" si="14"/>
        <v>892191.6</v>
      </c>
      <c r="L19" s="7"/>
      <c r="M19" s="7">
        <f t="shared" si="14"/>
        <v>791202.84</v>
      </c>
      <c r="N19" s="7"/>
      <c r="O19" s="7">
        <f t="shared" si="14"/>
        <v>791202.84</v>
      </c>
      <c r="P19" s="7"/>
      <c r="Q19" s="7">
        <f t="shared" si="14"/>
        <v>1070629.92</v>
      </c>
    </row>
    <row r="20" spans="1:17" x14ac:dyDescent="0.25">
      <c r="A20" s="4"/>
      <c r="B20" s="4"/>
      <c r="C20" s="4"/>
      <c r="D20" s="4"/>
      <c r="E20" s="4"/>
      <c r="F20" s="4"/>
      <c r="G20" s="22"/>
      <c r="H20" s="4"/>
      <c r="I20" s="22"/>
      <c r="J20" s="17"/>
      <c r="K20" s="23"/>
      <c r="L20" s="17"/>
      <c r="M20" s="23"/>
      <c r="N20" s="17"/>
      <c r="O20" s="23"/>
      <c r="P20" s="17"/>
      <c r="Q20" s="23"/>
    </row>
    <row r="21" spans="1:17" ht="45" x14ac:dyDescent="0.25">
      <c r="A21" s="3">
        <v>2</v>
      </c>
      <c r="B21" s="6" t="s">
        <v>4</v>
      </c>
      <c r="C21" s="6" t="s">
        <v>37</v>
      </c>
      <c r="D21" s="3">
        <v>0.25</v>
      </c>
      <c r="E21" s="7">
        <f>ROUND(7471*D21*1.01075,2)</f>
        <v>1887.83</v>
      </c>
      <c r="F21" s="7">
        <v>0.25</v>
      </c>
      <c r="G21" s="7">
        <f>ROUND(7471*F21*1.01075,2)</f>
        <v>1887.83</v>
      </c>
      <c r="H21" s="3">
        <v>0.25</v>
      </c>
      <c r="I21" s="7">
        <f>ROUND(7471*H21*1.01075,2)</f>
        <v>1887.83</v>
      </c>
      <c r="J21" s="18">
        <v>0.25</v>
      </c>
      <c r="K21" s="7">
        <f>ROUND(7471*J21*1.01075,2)</f>
        <v>1887.83</v>
      </c>
      <c r="L21" s="18">
        <v>0.25</v>
      </c>
      <c r="M21" s="7">
        <f>ROUND(7471*L21*1.01075,2)</f>
        <v>1887.83</v>
      </c>
      <c r="N21" s="18">
        <v>0.25</v>
      </c>
      <c r="O21" s="7">
        <f>ROUND(7471*N21*1.01075,2)</f>
        <v>1887.83</v>
      </c>
      <c r="P21" s="18">
        <v>0.25</v>
      </c>
      <c r="Q21" s="7">
        <f>ROUND(7471*P21*1.01075,2)</f>
        <v>1887.83</v>
      </c>
    </row>
    <row r="22" spans="1:17" ht="45" x14ac:dyDescent="0.25">
      <c r="A22" s="4"/>
      <c r="B22" s="4"/>
      <c r="C22" s="6" t="s">
        <v>46</v>
      </c>
      <c r="D22" s="4"/>
      <c r="E22" s="7">
        <f>ROUND(E21*0.3,2)</f>
        <v>566.35</v>
      </c>
      <c r="F22" s="5"/>
      <c r="G22" s="7">
        <f>ROUND(G21*0.3,2)</f>
        <v>566.35</v>
      </c>
      <c r="H22" s="4"/>
      <c r="I22" s="7">
        <f>ROUND(I21*0.3,2)</f>
        <v>566.35</v>
      </c>
      <c r="J22" s="17"/>
      <c r="K22" s="7">
        <f>ROUND(K21*0.3,2)</f>
        <v>566.35</v>
      </c>
      <c r="L22" s="17"/>
      <c r="M22" s="15">
        <f>ROUND(M21*0.3,2)</f>
        <v>566.35</v>
      </c>
      <c r="N22" s="17"/>
      <c r="O22" s="15">
        <f>ROUND(O21*0.3,2)</f>
        <v>566.35</v>
      </c>
      <c r="P22" s="17"/>
      <c r="Q22" s="7">
        <f>ROUND(Q21*0.3,2)</f>
        <v>566.35</v>
      </c>
    </row>
    <row r="23" spans="1:17" ht="45.75" customHeight="1" x14ac:dyDescent="0.25">
      <c r="A23" s="4"/>
      <c r="B23" s="4"/>
      <c r="C23" s="6" t="s">
        <v>45</v>
      </c>
      <c r="D23" s="4"/>
      <c r="E23" s="7"/>
      <c r="F23" s="5"/>
      <c r="G23" s="7"/>
      <c r="H23" s="4"/>
      <c r="I23" s="7"/>
      <c r="J23" s="17"/>
      <c r="K23" s="7">
        <f>ROUND((K21+K22)*0.2,2)</f>
        <v>490.84</v>
      </c>
      <c r="L23" s="17"/>
      <c r="M23" s="15"/>
      <c r="N23" s="17"/>
      <c r="O23" s="15"/>
      <c r="P23" s="17"/>
      <c r="Q23" s="7">
        <f>ROUND((Q21+Q22)*0.2,2)</f>
        <v>490.84</v>
      </c>
    </row>
    <row r="24" spans="1:17" ht="60" x14ac:dyDescent="0.25">
      <c r="A24" s="4"/>
      <c r="B24" s="4"/>
      <c r="C24" s="6" t="s">
        <v>47</v>
      </c>
      <c r="D24" s="4"/>
      <c r="E24" s="7">
        <f>ROUND((E21+E22)*0.3,2)</f>
        <v>736.25</v>
      </c>
      <c r="F24" s="5"/>
      <c r="G24" s="7">
        <f>ROUND((G21+G22)*0.3,2)</f>
        <v>736.25</v>
      </c>
      <c r="H24" s="4"/>
      <c r="I24" s="7">
        <f>ROUND((I21+I22)*0.3,2)</f>
        <v>736.25</v>
      </c>
      <c r="J24" s="17"/>
      <c r="K24" s="7">
        <f>ROUND((K21+K22)*0.3,2)</f>
        <v>736.25</v>
      </c>
      <c r="L24" s="17"/>
      <c r="M24" s="15">
        <f>ROUND((M21+M22)*0.3,2)</f>
        <v>736.25</v>
      </c>
      <c r="N24" s="17"/>
      <c r="O24" s="15">
        <f>ROUND((O21+O22)*0.3,2)</f>
        <v>736.25</v>
      </c>
      <c r="P24" s="17"/>
      <c r="Q24" s="7">
        <f>ROUND((Q21+Q22)*0.3,2)</f>
        <v>736.25</v>
      </c>
    </row>
    <row r="25" spans="1:17" ht="45" x14ac:dyDescent="0.25">
      <c r="A25" s="4"/>
      <c r="B25" s="4"/>
      <c r="C25" s="6" t="s">
        <v>11</v>
      </c>
      <c r="D25" s="6"/>
      <c r="E25" s="39">
        <f>ROUND((E21+E22)*0.05,2)</f>
        <v>122.71</v>
      </c>
      <c r="F25" s="7"/>
      <c r="G25" s="7">
        <f>ROUND((G21+G22)*0.05,2)</f>
        <v>122.71</v>
      </c>
      <c r="H25" s="7"/>
      <c r="I25" s="7">
        <f>ROUND((I21+I22)*0.05,2)</f>
        <v>122.71</v>
      </c>
      <c r="J25" s="7"/>
      <c r="K25" s="7">
        <f>ROUND((K21+K22)*0.05,2)</f>
        <v>122.71</v>
      </c>
      <c r="L25" s="7"/>
      <c r="M25" s="7">
        <f>ROUND((M21+M22)*0.05,2)</f>
        <v>122.71</v>
      </c>
      <c r="N25" s="7"/>
      <c r="O25" s="7">
        <f>ROUND((O21+O22)*0.05,2)</f>
        <v>122.71</v>
      </c>
      <c r="P25" s="7"/>
      <c r="Q25" s="7">
        <f>ROUND((Q21+Q22)*0.05,2)</f>
        <v>122.71</v>
      </c>
    </row>
    <row r="26" spans="1:17" ht="45" x14ac:dyDescent="0.25">
      <c r="A26" s="4"/>
      <c r="B26" s="4"/>
      <c r="C26" s="6" t="s">
        <v>48</v>
      </c>
      <c r="D26" s="6"/>
      <c r="E26" s="39">
        <f>ROUND(E21*0.4,2)</f>
        <v>755.13</v>
      </c>
      <c r="F26" s="7"/>
      <c r="G26" s="7">
        <f>ROUND(G21*0.4,2)</f>
        <v>755.13</v>
      </c>
      <c r="H26" s="7"/>
      <c r="I26" s="7">
        <f t="shared" ref="I26:Q26" si="15">ROUND(I21*0.4,2)</f>
        <v>755.13</v>
      </c>
      <c r="J26" s="7"/>
      <c r="K26" s="7">
        <f t="shared" si="15"/>
        <v>755.13</v>
      </c>
      <c r="L26" s="7"/>
      <c r="M26" s="7">
        <f t="shared" si="15"/>
        <v>755.13</v>
      </c>
      <c r="N26" s="7"/>
      <c r="O26" s="7">
        <f t="shared" si="15"/>
        <v>755.13</v>
      </c>
      <c r="P26" s="7"/>
      <c r="Q26" s="7">
        <f t="shared" si="15"/>
        <v>755.13</v>
      </c>
    </row>
    <row r="27" spans="1:17" ht="35.25" customHeight="1" x14ac:dyDescent="0.25">
      <c r="A27" s="4"/>
      <c r="B27" s="4"/>
      <c r="C27" s="6" t="s">
        <v>61</v>
      </c>
      <c r="D27" s="6"/>
      <c r="E27" s="39">
        <f>ROUND(E21*0.2,2)</f>
        <v>377.57</v>
      </c>
      <c r="F27" s="7"/>
      <c r="G27" s="7">
        <f>ROUND(G21*0.4,2)</f>
        <v>755.13</v>
      </c>
      <c r="H27" s="7"/>
      <c r="I27" s="7">
        <f>ROUND(I21*0.4,2)</f>
        <v>755.13</v>
      </c>
      <c r="J27" s="7"/>
      <c r="K27" s="7">
        <f>ROUND(K21*0.4,2)</f>
        <v>755.13</v>
      </c>
      <c r="L27" s="7"/>
      <c r="M27" s="7">
        <f>ROUND(M21*0.4,2)</f>
        <v>755.13</v>
      </c>
      <c r="N27" s="7"/>
      <c r="O27" s="7">
        <f>ROUND(O21*0.4,2)</f>
        <v>755.13</v>
      </c>
      <c r="P27" s="7"/>
      <c r="Q27" s="7">
        <f>ROUND(Q21*0.4,2)</f>
        <v>755.13</v>
      </c>
    </row>
    <row r="28" spans="1:17" x14ac:dyDescent="0.25">
      <c r="A28" s="4"/>
      <c r="B28" s="4"/>
      <c r="C28" s="4" t="s">
        <v>12</v>
      </c>
      <c r="D28" s="4"/>
      <c r="E28" s="7">
        <f>ROUND((E21+E22+E23++E24+E25+E26+E27)*0.05,2)</f>
        <v>222.29</v>
      </c>
      <c r="F28" s="7"/>
      <c r="G28" s="7">
        <f>ROUND((G21+G22+G23++G24+G25+G26+G27)*0.05,2)</f>
        <v>241.17</v>
      </c>
      <c r="H28" s="7"/>
      <c r="I28" s="7">
        <f t="shared" ref="I28:Q28" si="16">ROUND((I21+I22+I23++I24+I25+I26+I27)*0.05,2)</f>
        <v>241.17</v>
      </c>
      <c r="J28" s="7"/>
      <c r="K28" s="7">
        <f t="shared" si="16"/>
        <v>265.70999999999998</v>
      </c>
      <c r="L28" s="7"/>
      <c r="M28" s="7">
        <f t="shared" si="16"/>
        <v>241.17</v>
      </c>
      <c r="N28" s="7"/>
      <c r="O28" s="7">
        <f t="shared" si="16"/>
        <v>241.17</v>
      </c>
      <c r="P28" s="7"/>
      <c r="Q28" s="7">
        <f t="shared" si="16"/>
        <v>265.70999999999998</v>
      </c>
    </row>
    <row r="29" spans="1:17" x14ac:dyDescent="0.25">
      <c r="A29" s="4"/>
      <c r="B29" s="4"/>
      <c r="C29" s="4" t="s">
        <v>13</v>
      </c>
      <c r="D29" s="4"/>
      <c r="E29" s="3">
        <f>ROUND((E21+E22+E23+E24+E25+E26+E27)*0.01,2)</f>
        <v>44.46</v>
      </c>
      <c r="F29" s="3"/>
      <c r="G29" s="3">
        <f>ROUND((G21+G22+G23+G24+G25+G26+G27)*0.01,2)</f>
        <v>48.23</v>
      </c>
      <c r="H29" s="3"/>
      <c r="I29" s="3">
        <f t="shared" ref="I29:Q29" si="17">ROUND((I21+I22+I23+I24+I25+I26+I27)*0.01,2)</f>
        <v>48.23</v>
      </c>
      <c r="J29" s="3"/>
      <c r="K29" s="3">
        <f t="shared" si="17"/>
        <v>53.14</v>
      </c>
      <c r="L29" s="3"/>
      <c r="M29" s="3">
        <f t="shared" si="17"/>
        <v>48.23</v>
      </c>
      <c r="N29" s="3"/>
      <c r="O29" s="3">
        <f t="shared" si="17"/>
        <v>48.23</v>
      </c>
      <c r="P29" s="3"/>
      <c r="Q29" s="3">
        <f t="shared" si="17"/>
        <v>53.14</v>
      </c>
    </row>
    <row r="30" spans="1:17" ht="30" x14ac:dyDescent="0.25">
      <c r="A30" s="4"/>
      <c r="B30" s="4"/>
      <c r="C30" s="6" t="s">
        <v>14</v>
      </c>
      <c r="D30" s="6"/>
      <c r="E30" s="39">
        <f>ROUND((E21+E22+E23+E24+E25+E26+E28+E29+E27)*0.302,2)</f>
        <v>1423.2</v>
      </c>
      <c r="F30" s="11"/>
      <c r="G30" s="11">
        <f>ROUND((G21+G22+G23+G24+G25+G26+G28+G29+G27)*0.302,2)</f>
        <v>1544.07</v>
      </c>
      <c r="H30" s="11"/>
      <c r="I30" s="11">
        <f t="shared" ref="I30:Q30" si="18">ROUND((I21+I22+I23+I24+I25+I26+I28+I29+I27)*0.302,2)</f>
        <v>1544.07</v>
      </c>
      <c r="J30" s="11"/>
      <c r="K30" s="11">
        <f t="shared" si="18"/>
        <v>1701.19</v>
      </c>
      <c r="L30" s="11"/>
      <c r="M30" s="11">
        <f t="shared" si="18"/>
        <v>1544.07</v>
      </c>
      <c r="N30" s="11"/>
      <c r="O30" s="11">
        <f t="shared" si="18"/>
        <v>1544.07</v>
      </c>
      <c r="P30" s="11"/>
      <c r="Q30" s="11">
        <f t="shared" si="18"/>
        <v>1701.19</v>
      </c>
    </row>
    <row r="31" spans="1:17" ht="52.5" customHeight="1" x14ac:dyDescent="0.25">
      <c r="A31" s="4"/>
      <c r="B31" s="4"/>
      <c r="C31" s="6" t="s">
        <v>21</v>
      </c>
      <c r="D31" s="6"/>
      <c r="E31" s="3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4"/>
      <c r="B32" s="4"/>
      <c r="C32" s="10" t="s">
        <v>15</v>
      </c>
      <c r="D32" s="10"/>
      <c r="E32" s="39">
        <f>E21+E22+E23+E24+E25+E26+E28+E29+E30+E27</f>
        <v>6135.79</v>
      </c>
      <c r="F32" s="7"/>
      <c r="G32" s="7">
        <f>G21+G22+G23+G24+G25+G26+G28+G29+G30+G27</f>
        <v>6656.869999999999</v>
      </c>
      <c r="H32" s="7"/>
      <c r="I32" s="7">
        <f t="shared" ref="I32:Q32" si="19">I21+I22+I23+I24+I25+I26+I28+I29+I30+I27</f>
        <v>6656.869999999999</v>
      </c>
      <c r="J32" s="7"/>
      <c r="K32" s="7">
        <f t="shared" si="19"/>
        <v>7334.28</v>
      </c>
      <c r="L32" s="7"/>
      <c r="M32" s="7">
        <f t="shared" si="19"/>
        <v>6656.869999999999</v>
      </c>
      <c r="N32" s="7"/>
      <c r="O32" s="7">
        <f t="shared" si="19"/>
        <v>6656.869999999999</v>
      </c>
      <c r="P32" s="7"/>
      <c r="Q32" s="7">
        <f t="shared" si="19"/>
        <v>7334.28</v>
      </c>
    </row>
    <row r="33" spans="1:17" x14ac:dyDescent="0.25">
      <c r="A33" s="4"/>
      <c r="B33" s="4"/>
      <c r="C33" s="10" t="s">
        <v>16</v>
      </c>
      <c r="D33" s="10"/>
      <c r="E33" s="39">
        <f>ROUND(E32*12,2)</f>
        <v>73629.48</v>
      </c>
      <c r="F33" s="5"/>
      <c r="G33" s="7">
        <f>ROUND(G32*12,2)</f>
        <v>79882.44</v>
      </c>
      <c r="H33" s="7"/>
      <c r="I33" s="7">
        <f t="shared" ref="I33:Q33" si="20">ROUND(I32*12,2)</f>
        <v>79882.44</v>
      </c>
      <c r="J33" s="7"/>
      <c r="K33" s="7">
        <f t="shared" si="20"/>
        <v>88011.36</v>
      </c>
      <c r="L33" s="7"/>
      <c r="M33" s="7">
        <f t="shared" si="20"/>
        <v>79882.44</v>
      </c>
      <c r="N33" s="7"/>
      <c r="O33" s="7">
        <f t="shared" si="20"/>
        <v>79882.44</v>
      </c>
      <c r="P33" s="7"/>
      <c r="Q33" s="7">
        <f t="shared" si="20"/>
        <v>88011.36</v>
      </c>
    </row>
    <row r="34" spans="1:17" ht="45" x14ac:dyDescent="0.25">
      <c r="A34" s="3">
        <v>3</v>
      </c>
      <c r="B34" s="6" t="s">
        <v>28</v>
      </c>
      <c r="C34" s="6" t="s">
        <v>37</v>
      </c>
      <c r="D34" s="37">
        <v>0.125</v>
      </c>
      <c r="E34" s="39">
        <f>ROUND(7471*D34*1.01075,2)</f>
        <v>943.91</v>
      </c>
      <c r="F34" s="20"/>
      <c r="G34" s="39">
        <f>ROUND(7471*F34*1.01075,2)</f>
        <v>0</v>
      </c>
      <c r="H34" s="20">
        <v>0.125</v>
      </c>
      <c r="I34" s="39">
        <f>ROUND(7471*H34*1.01075,2)</f>
        <v>943.91</v>
      </c>
      <c r="J34" s="21">
        <v>0.125</v>
      </c>
      <c r="K34" s="39">
        <f>ROUND(7471*J34*1.01075,2)</f>
        <v>943.91</v>
      </c>
      <c r="L34" s="21"/>
      <c r="M34" s="39">
        <f>ROUND(7471*L34*1.01075,2)</f>
        <v>0</v>
      </c>
      <c r="N34" s="21">
        <v>0.125</v>
      </c>
      <c r="O34" s="39">
        <f>ROUND(7471*N34*1.01075,2)</f>
        <v>943.91</v>
      </c>
      <c r="P34" s="21">
        <v>0.125</v>
      </c>
      <c r="Q34" s="39">
        <f>ROUND(7471*P34*1.01075,2)</f>
        <v>943.91</v>
      </c>
    </row>
    <row r="35" spans="1:17" ht="45" x14ac:dyDescent="0.25">
      <c r="A35" s="4"/>
      <c r="B35" s="4"/>
      <c r="C35" s="6" t="s">
        <v>46</v>
      </c>
      <c r="D35" s="6"/>
      <c r="E35" s="39">
        <f>ROUND(E34*0.3,2)</f>
        <v>283.17</v>
      </c>
      <c r="F35" s="5"/>
      <c r="G35" s="7">
        <f>ROUND(G34*0.3,2)</f>
        <v>0</v>
      </c>
      <c r="H35" s="4"/>
      <c r="I35" s="7">
        <f>ROUND(I34*0.3,2)</f>
        <v>283.17</v>
      </c>
      <c r="J35" s="17"/>
      <c r="K35" s="7">
        <f>ROUND(K34*0.3,2)</f>
        <v>283.17</v>
      </c>
      <c r="L35" s="17"/>
      <c r="M35" s="15">
        <f>ROUND(M34*0.3,2)</f>
        <v>0</v>
      </c>
      <c r="N35" s="17"/>
      <c r="O35" s="15">
        <f>ROUND(O34*0.3,2)</f>
        <v>283.17</v>
      </c>
      <c r="P35" s="17"/>
      <c r="Q35" s="7">
        <f>ROUND(Q34*0.3,2)</f>
        <v>283.17</v>
      </c>
    </row>
    <row r="36" spans="1:17" ht="45" x14ac:dyDescent="0.25">
      <c r="A36" s="4"/>
      <c r="B36" s="4"/>
      <c r="C36" s="6" t="s">
        <v>45</v>
      </c>
      <c r="D36" s="6"/>
      <c r="E36" s="39"/>
      <c r="F36" s="5"/>
      <c r="G36" s="7"/>
      <c r="H36" s="4"/>
      <c r="I36" s="7"/>
      <c r="J36" s="17"/>
      <c r="K36" s="7">
        <f>ROUND((K34+K35)*0.2,2)</f>
        <v>245.42</v>
      </c>
      <c r="L36" s="17"/>
      <c r="M36" s="15"/>
      <c r="N36" s="17"/>
      <c r="O36" s="15"/>
      <c r="P36" s="17"/>
      <c r="Q36" s="7">
        <f>ROUND((Q34+Q35)*0.2,2)</f>
        <v>245.42</v>
      </c>
    </row>
    <row r="37" spans="1:17" ht="60" x14ac:dyDescent="0.25">
      <c r="A37" s="4"/>
      <c r="B37" s="4"/>
      <c r="C37" s="6" t="s">
        <v>47</v>
      </c>
      <c r="D37" s="6"/>
      <c r="E37" s="39">
        <f>ROUND((E34+E35)*0.3,2)</f>
        <v>368.12</v>
      </c>
      <c r="F37" s="5"/>
      <c r="G37" s="7">
        <f>ROUND((G34+G35)*0.3,2)</f>
        <v>0</v>
      </c>
      <c r="H37" s="4"/>
      <c r="I37" s="7">
        <f>ROUND((I34+I35)*0.3,2)</f>
        <v>368.12</v>
      </c>
      <c r="J37" s="17"/>
      <c r="K37" s="7">
        <f>ROUND((K34+K35)*0.3,2)</f>
        <v>368.12</v>
      </c>
      <c r="L37" s="17"/>
      <c r="M37" s="15">
        <f>ROUND((M34+M35)*0.3,2)</f>
        <v>0</v>
      </c>
      <c r="N37" s="17"/>
      <c r="O37" s="15">
        <f>ROUND((O34+O35)*0.3,2)</f>
        <v>368.12</v>
      </c>
      <c r="P37" s="17"/>
      <c r="Q37" s="7">
        <f>ROUND((Q34+Q35)*0.3,2)</f>
        <v>368.12</v>
      </c>
    </row>
    <row r="38" spans="1:17" ht="45" x14ac:dyDescent="0.25">
      <c r="A38" s="4"/>
      <c r="B38" s="4"/>
      <c r="C38" s="6" t="s">
        <v>11</v>
      </c>
      <c r="D38" s="6"/>
      <c r="E38" s="39">
        <f>ROUND((E34+E35)*0.05,2)</f>
        <v>61.35</v>
      </c>
      <c r="F38" s="7"/>
      <c r="G38" s="7">
        <f>ROUND((G34+G35)*0.05,2)</f>
        <v>0</v>
      </c>
      <c r="H38" s="7"/>
      <c r="I38" s="7">
        <f>ROUND((I34+I35)*0.05,2)</f>
        <v>61.35</v>
      </c>
      <c r="J38" s="7"/>
      <c r="K38" s="7">
        <f>ROUND((K34+K35)*0.05,2)</f>
        <v>61.35</v>
      </c>
      <c r="L38" s="7"/>
      <c r="M38" s="7">
        <f>ROUND((M34+M35)*0.05,2)</f>
        <v>0</v>
      </c>
      <c r="N38" s="7"/>
      <c r="O38" s="7">
        <f>ROUND((O34+O35)*0.05,2)</f>
        <v>61.35</v>
      </c>
      <c r="P38" s="7"/>
      <c r="Q38" s="7">
        <f>ROUND((Q34+Q35)*0.05,2)</f>
        <v>61.35</v>
      </c>
    </row>
    <row r="39" spans="1:17" ht="45" x14ac:dyDescent="0.25">
      <c r="A39" s="4"/>
      <c r="B39" s="4"/>
      <c r="C39" s="6" t="s">
        <v>48</v>
      </c>
      <c r="D39" s="6"/>
      <c r="E39" s="39">
        <f>ROUND(E34*0.4,2)</f>
        <v>377.56</v>
      </c>
      <c r="F39" s="7"/>
      <c r="G39" s="7">
        <f>ROUND(G34*0.4,2)</f>
        <v>0</v>
      </c>
      <c r="H39" s="7"/>
      <c r="I39" s="7">
        <f t="shared" ref="I39:Q39" si="21">ROUND(I34*0.4,2)</f>
        <v>377.56</v>
      </c>
      <c r="J39" s="7"/>
      <c r="K39" s="7">
        <f t="shared" si="21"/>
        <v>377.56</v>
      </c>
      <c r="L39" s="7"/>
      <c r="M39" s="7">
        <f t="shared" si="21"/>
        <v>0</v>
      </c>
      <c r="N39" s="7"/>
      <c r="O39" s="7">
        <f t="shared" si="21"/>
        <v>377.56</v>
      </c>
      <c r="P39" s="7"/>
      <c r="Q39" s="7">
        <f t="shared" si="21"/>
        <v>377.56</v>
      </c>
    </row>
    <row r="40" spans="1:17" ht="36.75" customHeight="1" x14ac:dyDescent="0.25">
      <c r="A40" s="4"/>
      <c r="B40" s="4"/>
      <c r="C40" s="6" t="s">
        <v>61</v>
      </c>
      <c r="D40" s="6"/>
      <c r="E40" s="39">
        <f>ROUND(E34*0.2,2)</f>
        <v>188.78</v>
      </c>
      <c r="F40" s="7"/>
      <c r="G40" s="7">
        <f>ROUND(G34*0.4,2)</f>
        <v>0</v>
      </c>
      <c r="H40" s="7"/>
      <c r="I40" s="7">
        <f>ROUND(I34*0.4,2)</f>
        <v>377.56</v>
      </c>
      <c r="J40" s="7"/>
      <c r="K40" s="7">
        <f>ROUND(K34*0.4,2)</f>
        <v>377.56</v>
      </c>
      <c r="L40" s="7"/>
      <c r="M40" s="7">
        <f>ROUND(M34*0.4,2)</f>
        <v>0</v>
      </c>
      <c r="N40" s="7"/>
      <c r="O40" s="7">
        <f>ROUND(O34*0.4,2)</f>
        <v>377.56</v>
      </c>
      <c r="P40" s="7"/>
      <c r="Q40" s="7">
        <f>ROUND(Q34*0.4,2)</f>
        <v>377.56</v>
      </c>
    </row>
    <row r="41" spans="1:17" ht="26.25" customHeight="1" x14ac:dyDescent="0.25">
      <c r="A41" s="4"/>
      <c r="B41" s="4"/>
      <c r="C41" s="4" t="s">
        <v>12</v>
      </c>
      <c r="D41" s="4"/>
      <c r="E41" s="7">
        <f>ROUND((E34+E35+E36+E37+E38+E39+E40)*0.05,2)</f>
        <v>111.14</v>
      </c>
      <c r="F41" s="7"/>
      <c r="G41" s="7">
        <f>ROUND((G34+G35+G36+G37+G38+G39+G40)*0.05,2)</f>
        <v>0</v>
      </c>
      <c r="H41" s="7"/>
      <c r="I41" s="7">
        <f t="shared" ref="I41:Q41" si="22">ROUND((I34+I35+I36+I37+I38+I39+I40)*0.05,2)</f>
        <v>120.58</v>
      </c>
      <c r="J41" s="7"/>
      <c r="K41" s="7">
        <f t="shared" si="22"/>
        <v>132.85</v>
      </c>
      <c r="L41" s="7"/>
      <c r="M41" s="7">
        <f t="shared" si="22"/>
        <v>0</v>
      </c>
      <c r="N41" s="7"/>
      <c r="O41" s="7">
        <f t="shared" si="22"/>
        <v>120.58</v>
      </c>
      <c r="P41" s="7"/>
      <c r="Q41" s="7">
        <f t="shared" si="22"/>
        <v>132.85</v>
      </c>
    </row>
    <row r="42" spans="1:17" x14ac:dyDescent="0.25">
      <c r="A42" s="4"/>
      <c r="B42" s="4"/>
      <c r="C42" s="4" t="s">
        <v>13</v>
      </c>
      <c r="D42" s="4"/>
      <c r="E42" s="3">
        <f>ROUND((E34+E35+E36+E37+E38+E39+E40)*0.01,2)</f>
        <v>22.23</v>
      </c>
      <c r="F42" s="3"/>
      <c r="G42" s="3">
        <f>ROUND((G34+G35+G36+G37+G38+G39+G40)*0.01,2)</f>
        <v>0</v>
      </c>
      <c r="H42" s="3"/>
      <c r="I42" s="3">
        <f t="shared" ref="I42:Q42" si="23">ROUND((I34+I35+I36+I37+I38+I39+I40)*0.01,2)</f>
        <v>24.12</v>
      </c>
      <c r="J42" s="3"/>
      <c r="K42" s="3">
        <f t="shared" si="23"/>
        <v>26.57</v>
      </c>
      <c r="L42" s="3"/>
      <c r="M42" s="3">
        <f t="shared" si="23"/>
        <v>0</v>
      </c>
      <c r="N42" s="3"/>
      <c r="O42" s="3">
        <f t="shared" si="23"/>
        <v>24.12</v>
      </c>
      <c r="P42" s="3"/>
      <c r="Q42" s="3">
        <f t="shared" si="23"/>
        <v>26.57</v>
      </c>
    </row>
    <row r="43" spans="1:17" ht="30" x14ac:dyDescent="0.25">
      <c r="A43" s="4"/>
      <c r="B43" s="4"/>
      <c r="C43" s="6" t="s">
        <v>14</v>
      </c>
      <c r="D43" s="6"/>
      <c r="E43" s="39">
        <f>ROUND((E34+E35+E36+E37+E38+E39+E41+E42+E40)*0.302,2)</f>
        <v>711.59</v>
      </c>
      <c r="F43" s="11"/>
      <c r="G43" s="11">
        <f>ROUND((G34+G35+G36+G37+G38+G39+G41+G42+G40)*0.302,2)</f>
        <v>0</v>
      </c>
      <c r="H43" s="11"/>
      <c r="I43" s="11">
        <f t="shared" ref="I43:Q43" si="24">ROUND((I34+I35+I36+I37+I38+I39+I41+I42+I40)*0.302,2)</f>
        <v>772.02</v>
      </c>
      <c r="J43" s="11"/>
      <c r="K43" s="11">
        <f t="shared" si="24"/>
        <v>850.59</v>
      </c>
      <c r="L43" s="11"/>
      <c r="M43" s="11">
        <f t="shared" si="24"/>
        <v>0</v>
      </c>
      <c r="N43" s="11"/>
      <c r="O43" s="11">
        <f t="shared" si="24"/>
        <v>772.02</v>
      </c>
      <c r="P43" s="11"/>
      <c r="Q43" s="11">
        <f t="shared" si="24"/>
        <v>850.59</v>
      </c>
    </row>
    <row r="44" spans="1:17" ht="55.5" customHeight="1" x14ac:dyDescent="0.25">
      <c r="A44" s="4"/>
      <c r="B44" s="4"/>
      <c r="C44" s="6" t="s">
        <v>22</v>
      </c>
      <c r="D44" s="6"/>
      <c r="E44" s="3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4"/>
      <c r="B45" s="4"/>
      <c r="C45" s="10" t="s">
        <v>15</v>
      </c>
      <c r="D45" s="10"/>
      <c r="E45" s="39">
        <f>E34+E35+E36+E37+E38+E39+E41+E42+E43+E40</f>
        <v>3067.85</v>
      </c>
      <c r="F45" s="7"/>
      <c r="G45" s="7">
        <f>G34+G35+G36+G37+G38+G39+G41+G42+G43+G40</f>
        <v>0</v>
      </c>
      <c r="H45" s="7"/>
      <c r="I45" s="7">
        <f t="shared" ref="I45:Q45" si="25">I34+I35+I36+I37+I38+I39+I41+I42+I43+I40</f>
        <v>3328.3899999999994</v>
      </c>
      <c r="J45" s="7"/>
      <c r="K45" s="7">
        <f t="shared" si="25"/>
        <v>3667.1</v>
      </c>
      <c r="L45" s="7"/>
      <c r="M45" s="7">
        <f t="shared" si="25"/>
        <v>0</v>
      </c>
      <c r="N45" s="7"/>
      <c r="O45" s="7">
        <f t="shared" si="25"/>
        <v>3328.3899999999994</v>
      </c>
      <c r="P45" s="7"/>
      <c r="Q45" s="7">
        <f t="shared" si="25"/>
        <v>3667.1</v>
      </c>
    </row>
    <row r="46" spans="1:17" x14ac:dyDescent="0.25">
      <c r="A46" s="4"/>
      <c r="B46" s="4"/>
      <c r="C46" s="10" t="s">
        <v>16</v>
      </c>
      <c r="D46" s="10"/>
      <c r="E46" s="39">
        <f>ROUND(E45*12,2)</f>
        <v>36814.199999999997</v>
      </c>
      <c r="F46" s="5"/>
      <c r="G46" s="7">
        <f>ROUND(G45*12,2)</f>
        <v>0</v>
      </c>
      <c r="H46" s="7"/>
      <c r="I46" s="7">
        <f t="shared" ref="I46:Q46" si="26">ROUND(I45*12,2)</f>
        <v>39940.68</v>
      </c>
      <c r="J46" s="7"/>
      <c r="K46" s="7">
        <f t="shared" si="26"/>
        <v>44005.2</v>
      </c>
      <c r="L46" s="7"/>
      <c r="M46" s="7">
        <f t="shared" si="26"/>
        <v>0</v>
      </c>
      <c r="N46" s="7"/>
      <c r="O46" s="7">
        <f t="shared" si="26"/>
        <v>39940.68</v>
      </c>
      <c r="P46" s="7"/>
      <c r="Q46" s="7">
        <f t="shared" si="26"/>
        <v>44005.2</v>
      </c>
    </row>
    <row r="47" spans="1:17" ht="65.25" customHeight="1" x14ac:dyDescent="0.25">
      <c r="A47" s="3">
        <v>4</v>
      </c>
      <c r="B47" s="6" t="s">
        <v>18</v>
      </c>
      <c r="C47" s="6" t="s">
        <v>37</v>
      </c>
      <c r="D47" s="6"/>
      <c r="E47" s="39"/>
      <c r="F47" s="5"/>
      <c r="G47" s="7"/>
      <c r="H47" s="3"/>
      <c r="I47" s="7"/>
      <c r="J47" s="3">
        <v>1</v>
      </c>
      <c r="K47" s="7">
        <v>8714</v>
      </c>
      <c r="L47" s="17"/>
      <c r="M47" s="15"/>
      <c r="N47" s="17"/>
      <c r="O47" s="15"/>
      <c r="P47" s="3">
        <v>1</v>
      </c>
      <c r="Q47" s="7">
        <v>8714</v>
      </c>
    </row>
    <row r="48" spans="1:17" ht="45" x14ac:dyDescent="0.25">
      <c r="A48" s="4"/>
      <c r="B48" s="4"/>
      <c r="C48" s="6" t="s">
        <v>46</v>
      </c>
      <c r="D48" s="6"/>
      <c r="E48" s="39"/>
      <c r="F48" s="5"/>
      <c r="G48" s="7"/>
      <c r="H48" s="4"/>
      <c r="I48" s="7"/>
      <c r="J48" s="4"/>
      <c r="K48" s="7">
        <f>ROUND(K47*0.3,2)</f>
        <v>2614.1999999999998</v>
      </c>
      <c r="L48" s="17"/>
      <c r="M48" s="15"/>
      <c r="N48" s="17"/>
      <c r="O48" s="15"/>
      <c r="P48" s="4"/>
      <c r="Q48" s="7">
        <f>ROUND(Q47*0.3,2)</f>
        <v>2614.1999999999998</v>
      </c>
    </row>
    <row r="49" spans="1:17" ht="41.25" customHeight="1" x14ac:dyDescent="0.25">
      <c r="A49" s="4"/>
      <c r="B49" s="4"/>
      <c r="C49" s="6" t="s">
        <v>45</v>
      </c>
      <c r="D49" s="6"/>
      <c r="E49" s="39"/>
      <c r="F49" s="5"/>
      <c r="G49" s="7"/>
      <c r="H49" s="4"/>
      <c r="I49" s="7"/>
      <c r="J49" s="4"/>
      <c r="K49" s="7">
        <f>ROUND((K47+K48)*0.2,2)</f>
        <v>2265.64</v>
      </c>
      <c r="L49" s="17"/>
      <c r="M49" s="15"/>
      <c r="N49" s="17"/>
      <c r="O49" s="15"/>
      <c r="P49" s="4"/>
      <c r="Q49" s="7">
        <f>ROUND((Q47+Q48)*0.2,2)</f>
        <v>2265.64</v>
      </c>
    </row>
    <row r="50" spans="1:17" ht="60" x14ac:dyDescent="0.25">
      <c r="A50" s="4"/>
      <c r="B50" s="4"/>
      <c r="C50" s="6" t="s">
        <v>47</v>
      </c>
      <c r="D50" s="6"/>
      <c r="E50" s="39"/>
      <c r="F50" s="5"/>
      <c r="G50" s="7"/>
      <c r="H50" s="4"/>
      <c r="I50" s="7"/>
      <c r="J50" s="4"/>
      <c r="K50" s="7">
        <f>ROUND((K47+K48)*0.3,2)</f>
        <v>3398.46</v>
      </c>
      <c r="L50" s="17"/>
      <c r="M50" s="15"/>
      <c r="N50" s="17"/>
      <c r="O50" s="15"/>
      <c r="P50" s="4"/>
      <c r="Q50" s="7">
        <f>ROUND((Q47+Q48)*0.3,2)</f>
        <v>3398.46</v>
      </c>
    </row>
    <row r="51" spans="1:17" ht="45" x14ac:dyDescent="0.25">
      <c r="A51" s="4"/>
      <c r="B51" s="4"/>
      <c r="C51" s="6" t="s">
        <v>11</v>
      </c>
      <c r="D51" s="6"/>
      <c r="E51" s="39"/>
      <c r="F51" s="5"/>
      <c r="G51" s="7"/>
      <c r="H51" s="4"/>
      <c r="I51" s="7"/>
      <c r="J51" s="4"/>
      <c r="K51" s="7">
        <f>ROUND((K47+K48)*0.05,2)</f>
        <v>566.41</v>
      </c>
      <c r="L51" s="17"/>
      <c r="M51" s="15"/>
      <c r="N51" s="17"/>
      <c r="O51" s="15"/>
      <c r="P51" s="4"/>
      <c r="Q51" s="7">
        <f>ROUND((Q47+Q48)*0.05,2)</f>
        <v>566.41</v>
      </c>
    </row>
    <row r="52" spans="1:17" ht="45" x14ac:dyDescent="0.25">
      <c r="A52" s="4"/>
      <c r="B52" s="4"/>
      <c r="C52" s="6" t="s">
        <v>48</v>
      </c>
      <c r="D52" s="6"/>
      <c r="E52" s="39"/>
      <c r="F52" s="5"/>
      <c r="G52" s="7"/>
      <c r="H52" s="4"/>
      <c r="I52" s="7"/>
      <c r="J52" s="4"/>
      <c r="K52" s="7">
        <f>ROUND(K47*0.4,2)</f>
        <v>3485.6</v>
      </c>
      <c r="L52" s="17"/>
      <c r="M52" s="15"/>
      <c r="N52" s="17"/>
      <c r="O52" s="15"/>
      <c r="P52" s="4"/>
      <c r="Q52" s="7">
        <f>ROUND(Q47*0.4,2)</f>
        <v>3485.6</v>
      </c>
    </row>
    <row r="53" spans="1:17" ht="39.75" customHeight="1" x14ac:dyDescent="0.25">
      <c r="A53" s="4"/>
      <c r="B53" s="4"/>
      <c r="C53" s="6" t="s">
        <v>61</v>
      </c>
      <c r="D53" s="6"/>
      <c r="E53" s="39"/>
      <c r="F53" s="5"/>
      <c r="G53" s="7"/>
      <c r="H53" s="4"/>
      <c r="I53" s="7"/>
      <c r="J53" s="4"/>
      <c r="K53" s="7">
        <f>ROUND(K47*0.4,2)</f>
        <v>3485.6</v>
      </c>
      <c r="L53" s="17"/>
      <c r="M53" s="15"/>
      <c r="N53" s="17"/>
      <c r="O53" s="15"/>
      <c r="P53" s="4"/>
      <c r="Q53" s="7">
        <f>ROUND(Q47*0.4,2)</f>
        <v>3485.6</v>
      </c>
    </row>
    <row r="54" spans="1:17" x14ac:dyDescent="0.25">
      <c r="A54" s="4"/>
      <c r="B54" s="4"/>
      <c r="C54" s="4" t="s">
        <v>12</v>
      </c>
      <c r="D54" s="4"/>
      <c r="E54" s="7"/>
      <c r="F54" s="5"/>
      <c r="G54" s="7"/>
      <c r="H54" s="4"/>
      <c r="I54" s="7"/>
      <c r="J54" s="4"/>
      <c r="K54" s="7">
        <f>ROUND((K47+K48+K49+K50+K51+K52+K53)*0.05,2)</f>
        <v>1226.5</v>
      </c>
      <c r="L54" s="17"/>
      <c r="M54" s="15"/>
      <c r="N54" s="17"/>
      <c r="O54" s="15"/>
      <c r="P54" s="4"/>
      <c r="Q54" s="7">
        <f>ROUND((Q47+Q48+Q49+Q50+Q51+Q52+Q53)*0.05,2)</f>
        <v>1226.5</v>
      </c>
    </row>
    <row r="55" spans="1:17" ht="24.75" customHeight="1" x14ac:dyDescent="0.25">
      <c r="A55" s="4"/>
      <c r="B55" s="4"/>
      <c r="C55" s="4" t="s">
        <v>13</v>
      </c>
      <c r="D55" s="4"/>
      <c r="E55" s="7"/>
      <c r="F55" s="5"/>
      <c r="G55" s="7"/>
      <c r="H55" s="4"/>
      <c r="I55" s="12"/>
      <c r="J55" s="4"/>
      <c r="K55" s="24">
        <f>ROUND((K47+K48+K49+K50+K51+K52+K53)*0.01,2)</f>
        <v>245.3</v>
      </c>
      <c r="L55" s="17"/>
      <c r="M55" s="15"/>
      <c r="N55" s="17"/>
      <c r="O55" s="15"/>
      <c r="P55" s="4"/>
      <c r="Q55" s="24">
        <f>ROUND((Q47+Q48+Q49+Q50+Q51+Q52+Q53)*0.01,2)</f>
        <v>245.3</v>
      </c>
    </row>
    <row r="56" spans="1:17" ht="30" x14ac:dyDescent="0.25">
      <c r="A56" s="4"/>
      <c r="B56" s="4"/>
      <c r="C56" s="6" t="s">
        <v>14</v>
      </c>
      <c r="D56" s="6"/>
      <c r="E56" s="39"/>
      <c r="F56" s="5"/>
      <c r="G56" s="7"/>
      <c r="H56" s="4"/>
      <c r="I56" s="11"/>
      <c r="J56" s="4"/>
      <c r="K56" s="11">
        <f>ROUND((K47+K48+K49+K50+K51+K52+K54+K55+K53)*0.302,2)</f>
        <v>7852.52</v>
      </c>
      <c r="L56" s="17"/>
      <c r="M56" s="15"/>
      <c r="N56" s="17"/>
      <c r="O56" s="15"/>
      <c r="P56" s="4"/>
      <c r="Q56" s="11">
        <f>ROUND((Q47+Q48+Q49+Q50+Q51+Q52+Q54+Q55+Q53)*0.302,2)</f>
        <v>7852.52</v>
      </c>
    </row>
    <row r="57" spans="1:17" ht="45" x14ac:dyDescent="0.25">
      <c r="A57" s="4"/>
      <c r="B57" s="4"/>
      <c r="C57" s="6" t="s">
        <v>23</v>
      </c>
      <c r="D57" s="6"/>
      <c r="E57" s="39"/>
      <c r="F57" s="5"/>
      <c r="G57" s="7"/>
      <c r="H57" s="4"/>
      <c r="I57" s="7"/>
      <c r="J57" s="4"/>
      <c r="K57" s="7"/>
      <c r="L57" s="17"/>
      <c r="M57" s="15"/>
      <c r="N57" s="17"/>
      <c r="O57" s="15"/>
      <c r="P57" s="4"/>
      <c r="Q57" s="7"/>
    </row>
    <row r="58" spans="1:17" x14ac:dyDescent="0.25">
      <c r="A58" s="4"/>
      <c r="B58" s="4"/>
      <c r="C58" s="10" t="s">
        <v>15</v>
      </c>
      <c r="D58" s="10"/>
      <c r="E58" s="39"/>
      <c r="F58" s="5"/>
      <c r="G58" s="7"/>
      <c r="H58" s="4"/>
      <c r="I58" s="7"/>
      <c r="J58" s="4"/>
      <c r="K58" s="7">
        <f>K47+K48+K49+K50+K51+K52+K54+K55+K56+K53</f>
        <v>33854.229999999996</v>
      </c>
      <c r="L58" s="17"/>
      <c r="M58" s="15"/>
      <c r="N58" s="17"/>
      <c r="O58" s="15"/>
      <c r="P58" s="4"/>
      <c r="Q58" s="7">
        <f>Q47+Q48+Q49+Q50+Q51+Q52+Q54+Q55+Q56+Q53</f>
        <v>33854.229999999996</v>
      </c>
    </row>
    <row r="59" spans="1:17" x14ac:dyDescent="0.25">
      <c r="A59" s="4"/>
      <c r="B59" s="4"/>
      <c r="C59" s="10" t="s">
        <v>16</v>
      </c>
      <c r="D59" s="10"/>
      <c r="E59" s="39"/>
      <c r="F59" s="5"/>
      <c r="G59" s="7"/>
      <c r="H59" s="4"/>
      <c r="I59" s="7"/>
      <c r="J59" s="4"/>
      <c r="K59" s="7">
        <f>ROUND(K58*12,2)</f>
        <v>406250.76</v>
      </c>
      <c r="L59" s="17"/>
      <c r="M59" s="15"/>
      <c r="N59" s="17"/>
      <c r="O59" s="15"/>
      <c r="P59" s="4"/>
      <c r="Q59" s="7">
        <f>ROUND(Q58*12,2)</f>
        <v>406250.76</v>
      </c>
    </row>
    <row r="60" spans="1:17" ht="30" x14ac:dyDescent="0.25">
      <c r="A60" s="3">
        <v>5</v>
      </c>
      <c r="B60" s="6" t="s">
        <v>20</v>
      </c>
      <c r="C60" s="6" t="s">
        <v>10</v>
      </c>
      <c r="D60" s="37">
        <v>8.3000000000000004E-2</v>
      </c>
      <c r="E60" s="39">
        <f>ROUND(8216*1.01075*D60,2)</f>
        <v>689.26</v>
      </c>
      <c r="F60" s="20">
        <v>8.3000000000000004E-2</v>
      </c>
      <c r="G60" s="39">
        <f>ROUND(8216*1.01075*F60,2)</f>
        <v>689.26</v>
      </c>
      <c r="H60" s="20">
        <v>8.3000000000000004E-2</v>
      </c>
      <c r="I60" s="39">
        <f>ROUND(8216*1.01075*H60,2)</f>
        <v>689.26</v>
      </c>
      <c r="J60" s="20">
        <v>8.3000000000000004E-2</v>
      </c>
      <c r="K60" s="39">
        <f>ROUND(8216*1.01075*J60,2)</f>
        <v>689.26</v>
      </c>
      <c r="L60" s="20">
        <v>8.3000000000000004E-2</v>
      </c>
      <c r="M60" s="39">
        <f>ROUND(8216*1.01075*L60,2)</f>
        <v>689.26</v>
      </c>
      <c r="N60" s="21">
        <v>8.3000000000000004E-2</v>
      </c>
      <c r="O60" s="39">
        <f>ROUND(8216*1.01075*N60,2)</f>
        <v>689.26</v>
      </c>
      <c r="P60" s="20">
        <v>8.3000000000000004E-2</v>
      </c>
      <c r="Q60" s="39">
        <f>ROUND(8216*1.01075*P60,2)</f>
        <v>689.26</v>
      </c>
    </row>
    <row r="61" spans="1:17" ht="45" x14ac:dyDescent="0.25">
      <c r="A61" s="4"/>
      <c r="B61" s="4"/>
      <c r="C61" s="6" t="s">
        <v>50</v>
      </c>
      <c r="D61" s="6"/>
      <c r="E61" s="39">
        <f>ROUND(E60*0.3,2)</f>
        <v>206.78</v>
      </c>
      <c r="F61" s="5"/>
      <c r="G61" s="7">
        <f>ROUND(G60*0.3,2)</f>
        <v>206.78</v>
      </c>
      <c r="H61" s="4"/>
      <c r="I61" s="7">
        <f>ROUND(I60*0.3,2)</f>
        <v>206.78</v>
      </c>
      <c r="J61" s="17"/>
      <c r="K61" s="7">
        <f>ROUND(K60*0.3,2)</f>
        <v>206.78</v>
      </c>
      <c r="L61" s="17"/>
      <c r="M61" s="15">
        <f>ROUND(M60*0.3,2)</f>
        <v>206.78</v>
      </c>
      <c r="N61" s="17"/>
      <c r="O61" s="15">
        <f>ROUND(O60*0.3,2)</f>
        <v>206.78</v>
      </c>
      <c r="P61" s="17"/>
      <c r="Q61" s="7">
        <f>ROUND(Q60*0.3,2)</f>
        <v>206.78</v>
      </c>
    </row>
    <row r="62" spans="1:17" ht="45" x14ac:dyDescent="0.25">
      <c r="A62" s="4"/>
      <c r="B62" s="4"/>
      <c r="C62" s="6" t="s">
        <v>51</v>
      </c>
      <c r="D62" s="6"/>
      <c r="E62" s="39"/>
      <c r="F62" s="5"/>
      <c r="G62" s="7"/>
      <c r="H62" s="4"/>
      <c r="I62" s="7"/>
      <c r="J62" s="17"/>
      <c r="K62" s="7">
        <f>ROUND((K60+K61)*0.2,2)</f>
        <v>179.21</v>
      </c>
      <c r="L62" s="17"/>
      <c r="M62" s="15"/>
      <c r="N62" s="17"/>
      <c r="O62" s="15"/>
      <c r="P62" s="17"/>
      <c r="Q62" s="7">
        <f>ROUND((Q60+Q61)*0.2,2)</f>
        <v>179.21</v>
      </c>
    </row>
    <row r="63" spans="1:17" ht="60" x14ac:dyDescent="0.25">
      <c r="A63" s="4"/>
      <c r="B63" s="4"/>
      <c r="C63" s="6" t="s">
        <v>55</v>
      </c>
      <c r="D63" s="6"/>
      <c r="E63" s="39">
        <f>ROUND((E60+E61)*0.3,2)</f>
        <v>268.81</v>
      </c>
      <c r="F63" s="5"/>
      <c r="G63" s="7">
        <f>ROUND((G60+G61)*0.3,2)</f>
        <v>268.81</v>
      </c>
      <c r="H63" s="4"/>
      <c r="I63" s="7">
        <f>ROUND((I60+I61)*0.3,2)</f>
        <v>268.81</v>
      </c>
      <c r="J63" s="17"/>
      <c r="K63" s="7">
        <f>ROUND((K60+K61)*0.3,2)</f>
        <v>268.81</v>
      </c>
      <c r="L63" s="17"/>
      <c r="M63" s="15">
        <f>ROUND((M60+M61)*0.3,2)</f>
        <v>268.81</v>
      </c>
      <c r="N63" s="17"/>
      <c r="O63" s="15">
        <f>ROUND((O60+O61)*0.3,2)</f>
        <v>268.81</v>
      </c>
      <c r="P63" s="17"/>
      <c r="Q63" s="7">
        <f>ROUND((Q60+Q61)*0.3,2)</f>
        <v>268.81</v>
      </c>
    </row>
    <row r="64" spans="1:17" ht="45" x14ac:dyDescent="0.25">
      <c r="A64" s="4"/>
      <c r="B64" s="4"/>
      <c r="C64" s="6" t="s">
        <v>11</v>
      </c>
      <c r="D64" s="6"/>
      <c r="E64" s="39">
        <f>ROUND((E60+E61)*0.05,2)</f>
        <v>44.8</v>
      </c>
      <c r="F64" s="7"/>
      <c r="G64" s="7">
        <f>ROUND((G60+G61)*0.05,2)</f>
        <v>44.8</v>
      </c>
      <c r="H64" s="7"/>
      <c r="I64" s="7">
        <f>ROUND((I60+I61)*0.05,2)</f>
        <v>44.8</v>
      </c>
      <c r="J64" s="7"/>
      <c r="K64" s="7">
        <f>ROUND((K60+K61)*0.05,2)</f>
        <v>44.8</v>
      </c>
      <c r="L64" s="7"/>
      <c r="M64" s="7">
        <f>ROUND((M60+M61)*0.05,2)</f>
        <v>44.8</v>
      </c>
      <c r="N64" s="7"/>
      <c r="O64" s="7">
        <f>ROUND((O60+O61)*0.05,2)</f>
        <v>44.8</v>
      </c>
      <c r="P64" s="7"/>
      <c r="Q64" s="7">
        <f>ROUND((Q60+Q61)*0.05,2)</f>
        <v>44.8</v>
      </c>
    </row>
    <row r="65" spans="1:17" ht="45" x14ac:dyDescent="0.25">
      <c r="A65" s="4"/>
      <c r="B65" s="4"/>
      <c r="C65" s="6" t="s">
        <v>52</v>
      </c>
      <c r="D65" s="6"/>
      <c r="E65" s="39">
        <f>ROUND(E60*0.4,2)</f>
        <v>275.7</v>
      </c>
      <c r="F65" s="7"/>
      <c r="G65" s="7">
        <f>ROUND(G60*0.4,2)</f>
        <v>275.7</v>
      </c>
      <c r="H65" s="7"/>
      <c r="I65" s="7">
        <f t="shared" ref="I65:Q65" si="27">ROUND(I60*0.4,2)</f>
        <v>275.7</v>
      </c>
      <c r="J65" s="7"/>
      <c r="K65" s="7">
        <f t="shared" si="27"/>
        <v>275.7</v>
      </c>
      <c r="L65" s="7"/>
      <c r="M65" s="7">
        <f t="shared" si="27"/>
        <v>275.7</v>
      </c>
      <c r="N65" s="7"/>
      <c r="O65" s="7">
        <f t="shared" si="27"/>
        <v>275.7</v>
      </c>
      <c r="P65" s="7"/>
      <c r="Q65" s="7">
        <f t="shared" si="27"/>
        <v>275.7</v>
      </c>
    </row>
    <row r="66" spans="1:17" ht="52.5" customHeight="1" x14ac:dyDescent="0.25">
      <c r="A66" s="4"/>
      <c r="B66" s="4"/>
      <c r="C66" s="6" t="s">
        <v>62</v>
      </c>
      <c r="D66" s="6"/>
      <c r="E66" s="39">
        <f>ROUND(E60*0.2,2)</f>
        <v>137.85</v>
      </c>
      <c r="F66" s="7"/>
      <c r="G66" s="7">
        <f>ROUND(G60*0.4,2)</f>
        <v>275.7</v>
      </c>
      <c r="H66" s="7"/>
      <c r="I66" s="7">
        <f>ROUND(I60*0.4,2)</f>
        <v>275.7</v>
      </c>
      <c r="J66" s="7"/>
      <c r="K66" s="7">
        <f>ROUND(K60*0.4,2)</f>
        <v>275.7</v>
      </c>
      <c r="L66" s="7"/>
      <c r="M66" s="7">
        <f>ROUND(M60*0.4,2)</f>
        <v>275.7</v>
      </c>
      <c r="N66" s="7"/>
      <c r="O66" s="7">
        <f>ROUND(O60*0.4,2)</f>
        <v>275.7</v>
      </c>
      <c r="P66" s="7"/>
      <c r="Q66" s="7">
        <f>ROUND(Q60*0.4,2)</f>
        <v>275.7</v>
      </c>
    </row>
    <row r="67" spans="1:17" x14ac:dyDescent="0.25">
      <c r="A67" s="4"/>
      <c r="B67" s="4"/>
      <c r="C67" s="4" t="s">
        <v>12</v>
      </c>
      <c r="D67" s="4"/>
      <c r="E67" s="7">
        <f>ROUND((E60+E61+F62+E63+E64+E65+E66)*0.05,2)</f>
        <v>81.16</v>
      </c>
      <c r="F67" s="7"/>
      <c r="G67" s="7">
        <f>ROUND((G60+G61+H62+G63+G64+G65+G66)*0.05,2)</f>
        <v>88.05</v>
      </c>
      <c r="H67" s="7"/>
      <c r="I67" s="7">
        <f>ROUND((I60+I61+J62+I63+I64+I65+I66)*0.05,2)</f>
        <v>88.05</v>
      </c>
      <c r="J67" s="7"/>
      <c r="K67" s="7">
        <f t="shared" ref="K67:Q67" si="28">ROUND((K60+K61+L62+K63+K64+K65+K66)*0.05,2)</f>
        <v>88.05</v>
      </c>
      <c r="L67" s="7"/>
      <c r="M67" s="7">
        <f t="shared" si="28"/>
        <v>88.05</v>
      </c>
      <c r="N67" s="7"/>
      <c r="O67" s="7">
        <f t="shared" si="28"/>
        <v>88.05</v>
      </c>
      <c r="P67" s="7"/>
      <c r="Q67" s="7">
        <f t="shared" si="28"/>
        <v>88.05</v>
      </c>
    </row>
    <row r="68" spans="1:17" x14ac:dyDescent="0.25">
      <c r="A68" s="4"/>
      <c r="B68" s="4"/>
      <c r="C68" s="4" t="s">
        <v>13</v>
      </c>
      <c r="D68" s="4"/>
      <c r="E68" s="3">
        <f>ROUND((E60+E61+E62+E63+E64+E65+E66)*0.01,2)</f>
        <v>16.23</v>
      </c>
      <c r="F68" s="3"/>
      <c r="G68" s="3">
        <f>ROUND((G60+G61+G62+G63+G64+G65+G66)*0.01,2)</f>
        <v>17.61</v>
      </c>
      <c r="H68" s="3"/>
      <c r="I68" s="3">
        <f>ROUND((I60+I61+I62+I63+I64+I65+I66)*0.01,2)</f>
        <v>17.61</v>
      </c>
      <c r="J68" s="3"/>
      <c r="K68" s="3">
        <f t="shared" ref="K68:Q68" si="29">ROUND((K60+K61+K62+K63+K64+K65+K66)*0.01,2)</f>
        <v>19.399999999999999</v>
      </c>
      <c r="L68" s="3"/>
      <c r="M68" s="3">
        <f t="shared" si="29"/>
        <v>17.61</v>
      </c>
      <c r="N68" s="3"/>
      <c r="O68" s="3">
        <f t="shared" si="29"/>
        <v>17.61</v>
      </c>
      <c r="P68" s="3"/>
      <c r="Q68" s="3">
        <f t="shared" si="29"/>
        <v>19.399999999999999</v>
      </c>
    </row>
    <row r="69" spans="1:17" ht="30" x14ac:dyDescent="0.25">
      <c r="A69" s="4"/>
      <c r="B69" s="4"/>
      <c r="C69" s="6" t="s">
        <v>14</v>
      </c>
      <c r="D69" s="6"/>
      <c r="E69" s="39">
        <f>ROUND((E60+E61+E62+E63+E64+E65+E67+E68+E66)*0.302,2)</f>
        <v>519.62</v>
      </c>
      <c r="F69" s="11"/>
      <c r="G69" s="11">
        <f>ROUND((G60+G61+G62+G63+G64+G65+G67+G68+G66)*0.302,2)</f>
        <v>563.75</v>
      </c>
      <c r="H69" s="11"/>
      <c r="I69" s="11">
        <f>ROUND((I60+I61+I62+I63+I64+I65+I67+I68+I66)*0.302,2)</f>
        <v>563.75</v>
      </c>
      <c r="J69" s="11"/>
      <c r="K69" s="11">
        <f t="shared" ref="K69:Q69" si="30">ROUND((K60+K61+K62+K63+K64+K65+K67+K68+K66)*0.302,2)</f>
        <v>618.41</v>
      </c>
      <c r="L69" s="11"/>
      <c r="M69" s="11">
        <f t="shared" si="30"/>
        <v>563.75</v>
      </c>
      <c r="N69" s="11"/>
      <c r="O69" s="11">
        <f t="shared" si="30"/>
        <v>563.75</v>
      </c>
      <c r="P69" s="11"/>
      <c r="Q69" s="11">
        <f t="shared" si="30"/>
        <v>618.41</v>
      </c>
    </row>
    <row r="70" spans="1:17" ht="30" x14ac:dyDescent="0.25">
      <c r="A70" s="4"/>
      <c r="B70" s="4"/>
      <c r="C70" s="6" t="s">
        <v>49</v>
      </c>
      <c r="D70" s="6"/>
      <c r="E70" s="39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5">
      <c r="A71" s="4"/>
      <c r="B71" s="4"/>
      <c r="C71" s="10" t="s">
        <v>15</v>
      </c>
      <c r="D71" s="10"/>
      <c r="E71" s="39">
        <f>E60+E61+E62+E63+E64+E65+E67+E68+E69+E66</f>
        <v>2240.21</v>
      </c>
      <c r="F71" s="7"/>
      <c r="G71" s="7">
        <f>G60+G61+G62+G63+G64+G65+G67+G68+G69+G66</f>
        <v>2430.4599999999996</v>
      </c>
      <c r="H71" s="7"/>
      <c r="I71" s="7">
        <f>I60+I61+I62+I63+I64+I65+I67+I68+I69+I66</f>
        <v>2430.4599999999996</v>
      </c>
      <c r="J71" s="7"/>
      <c r="K71" s="7">
        <f t="shared" ref="K71:Q71" si="31">K60+K61+K62+K63+K64+K65+K67+K68+K69+K66</f>
        <v>2666.12</v>
      </c>
      <c r="L71" s="7"/>
      <c r="M71" s="7">
        <f t="shared" si="31"/>
        <v>2430.4599999999996</v>
      </c>
      <c r="N71" s="7"/>
      <c r="O71" s="7">
        <f t="shared" si="31"/>
        <v>2430.4599999999996</v>
      </c>
      <c r="P71" s="7"/>
      <c r="Q71" s="7">
        <f t="shared" si="31"/>
        <v>2666.12</v>
      </c>
    </row>
    <row r="72" spans="1:17" x14ac:dyDescent="0.25">
      <c r="A72" s="4"/>
      <c r="B72" s="4"/>
      <c r="C72" s="10" t="s">
        <v>16</v>
      </c>
      <c r="D72" s="10"/>
      <c r="E72" s="39">
        <f>ROUND(E71*12,2)</f>
        <v>26882.52</v>
      </c>
      <c r="F72" s="5"/>
      <c r="G72" s="7">
        <f>ROUND(G71*12,2)</f>
        <v>29165.52</v>
      </c>
      <c r="H72" s="4"/>
      <c r="I72" s="7">
        <f>ROUND(I71*12,2)</f>
        <v>29165.52</v>
      </c>
      <c r="J72" s="17"/>
      <c r="K72" s="7">
        <f>ROUND(K71*12,2)</f>
        <v>31993.439999999999</v>
      </c>
      <c r="L72" s="17"/>
      <c r="M72" s="15">
        <f>ROUND(M71*12,2)</f>
        <v>29165.52</v>
      </c>
      <c r="N72" s="17"/>
      <c r="O72" s="15">
        <f>ROUND(O71*12,2)</f>
        <v>29165.52</v>
      </c>
      <c r="P72" s="17"/>
      <c r="Q72" s="7">
        <f>ROUND(Q71*12,2)</f>
        <v>31993.439999999999</v>
      </c>
    </row>
    <row r="73" spans="1:17" ht="30" x14ac:dyDescent="0.25">
      <c r="A73" s="3">
        <v>6</v>
      </c>
      <c r="B73" s="6" t="s">
        <v>7</v>
      </c>
      <c r="C73" s="6" t="s">
        <v>10</v>
      </c>
      <c r="D73" s="37">
        <v>1</v>
      </c>
      <c r="E73" s="39">
        <f>ROUND(5194*D73*1.01075,0)</f>
        <v>5250</v>
      </c>
      <c r="F73" s="18">
        <v>1.25</v>
      </c>
      <c r="G73" s="39">
        <f>ROUND(5194*F73*1.01075,0)</f>
        <v>6562</v>
      </c>
      <c r="H73" s="18">
        <v>1.25</v>
      </c>
      <c r="I73" s="39">
        <f>ROUND(5194*H73*1.01075,0)</f>
        <v>6562</v>
      </c>
      <c r="J73" s="18">
        <v>1.25</v>
      </c>
      <c r="K73" s="39">
        <f>ROUND(5194*J73*1.01075,0)</f>
        <v>6562</v>
      </c>
      <c r="L73" s="18">
        <v>1.5</v>
      </c>
      <c r="M73" s="39">
        <f>ROUND(5194*L73*1.01075,0)</f>
        <v>7875</v>
      </c>
      <c r="N73" s="18">
        <v>1.25</v>
      </c>
      <c r="O73" s="39">
        <f>ROUND(5194*N73*1.01075,0)</f>
        <v>6562</v>
      </c>
      <c r="P73" s="18">
        <v>1.25</v>
      </c>
      <c r="Q73" s="39">
        <f>ROUND(5194*P73*1.01075,0)</f>
        <v>6562</v>
      </c>
    </row>
    <row r="74" spans="1:17" ht="30" x14ac:dyDescent="0.25">
      <c r="A74" s="3"/>
      <c r="B74" s="6"/>
      <c r="C74" s="6" t="s">
        <v>53</v>
      </c>
      <c r="D74" s="37"/>
      <c r="E74" s="39"/>
      <c r="F74" s="18"/>
      <c r="G74" s="7"/>
      <c r="H74" s="18"/>
      <c r="I74" s="7"/>
      <c r="J74" s="18"/>
      <c r="K74" s="7">
        <f>ROUND(K73*0.2,2)</f>
        <v>1312.4</v>
      </c>
      <c r="L74" s="18"/>
      <c r="M74" s="15"/>
      <c r="N74" s="18"/>
      <c r="O74" s="15"/>
      <c r="P74" s="18"/>
      <c r="Q74" s="7">
        <f>ROUND(Q73*0.2,2)</f>
        <v>1312.4</v>
      </c>
    </row>
    <row r="75" spans="1:17" ht="45" x14ac:dyDescent="0.25">
      <c r="A75" s="4"/>
      <c r="B75" s="4"/>
      <c r="C75" s="6" t="s">
        <v>54</v>
      </c>
      <c r="D75" s="37"/>
      <c r="E75" s="39">
        <f>ROUND(E73*0.3,0)</f>
        <v>1575</v>
      </c>
      <c r="F75" s="4"/>
      <c r="G75" s="7">
        <f>ROUND(G73*0.3,0)</f>
        <v>1969</v>
      </c>
      <c r="H75" s="4"/>
      <c r="I75" s="7">
        <f>ROUND(I73*0.3,0)</f>
        <v>1969</v>
      </c>
      <c r="J75" s="17"/>
      <c r="K75" s="7">
        <f>ROUND(K73*0.3,0)</f>
        <v>1969</v>
      </c>
      <c r="L75" s="17"/>
      <c r="M75" s="15">
        <f>ROUND(M73*0.3,0)</f>
        <v>2363</v>
      </c>
      <c r="N75" s="17"/>
      <c r="O75" s="15">
        <f>ROUND(O73*0.3,0)</f>
        <v>1969</v>
      </c>
      <c r="P75" s="17"/>
      <c r="Q75" s="7">
        <f>ROUND(Q73*0.3,0)</f>
        <v>1969</v>
      </c>
    </row>
    <row r="76" spans="1:17" ht="45" x14ac:dyDescent="0.25">
      <c r="A76" s="4"/>
      <c r="B76" s="4"/>
      <c r="C76" s="6" t="s">
        <v>11</v>
      </c>
      <c r="D76" s="37"/>
      <c r="E76" s="39">
        <f t="shared" ref="E76" si="32">ROUND((E73)*0.05,2)</f>
        <v>262.5</v>
      </c>
      <c r="F76" s="7"/>
      <c r="G76" s="7">
        <f t="shared" ref="G76:Q76" si="33">ROUND((G73)*0.05,2)</f>
        <v>328.1</v>
      </c>
      <c r="H76" s="7"/>
      <c r="I76" s="7">
        <f t="shared" si="33"/>
        <v>328.1</v>
      </c>
      <c r="J76" s="7"/>
      <c r="K76" s="7">
        <f t="shared" si="33"/>
        <v>328.1</v>
      </c>
      <c r="L76" s="7"/>
      <c r="M76" s="7">
        <f t="shared" si="33"/>
        <v>393.75</v>
      </c>
      <c r="N76" s="7"/>
      <c r="O76" s="7">
        <f t="shared" si="33"/>
        <v>328.1</v>
      </c>
      <c r="P76" s="7"/>
      <c r="Q76" s="7">
        <f t="shared" si="33"/>
        <v>328.1</v>
      </c>
    </row>
    <row r="77" spans="1:17" ht="30.75" customHeight="1" x14ac:dyDescent="0.25">
      <c r="A77" s="4"/>
      <c r="B77" s="4"/>
      <c r="C77" s="6" t="s">
        <v>34</v>
      </c>
      <c r="D77" s="37"/>
      <c r="E77" s="39">
        <f t="shared" ref="E77" si="34">ROUND(E73*0.2,2)</f>
        <v>1050</v>
      </c>
      <c r="F77" s="7"/>
      <c r="G77" s="7">
        <f t="shared" ref="G77:Q77" si="35">ROUND(G73*0.2,2)</f>
        <v>1312.4</v>
      </c>
      <c r="H77" s="7"/>
      <c r="I77" s="7">
        <f t="shared" si="35"/>
        <v>1312.4</v>
      </c>
      <c r="J77" s="7"/>
      <c r="K77" s="7">
        <f t="shared" si="35"/>
        <v>1312.4</v>
      </c>
      <c r="L77" s="7"/>
      <c r="M77" s="7">
        <f t="shared" si="35"/>
        <v>1575</v>
      </c>
      <c r="N77" s="7"/>
      <c r="O77" s="7">
        <f t="shared" si="35"/>
        <v>1312.4</v>
      </c>
      <c r="P77" s="7"/>
      <c r="Q77" s="7">
        <f t="shared" si="35"/>
        <v>1312.4</v>
      </c>
    </row>
    <row r="78" spans="1:17" x14ac:dyDescent="0.25">
      <c r="A78" s="4"/>
      <c r="B78" s="4"/>
      <c r="C78" s="4" t="s">
        <v>12</v>
      </c>
      <c r="D78" s="3"/>
      <c r="E78" s="7">
        <f t="shared" ref="E78" si="36">ROUND((E73+E74+E75+E76+E77)*0.05,0)</f>
        <v>407</v>
      </c>
      <c r="F78" s="7"/>
      <c r="G78" s="7">
        <f t="shared" ref="G78:Q78" si="37">ROUND((G73+G74+G75+G76+G77)*0.05,0)</f>
        <v>509</v>
      </c>
      <c r="H78" s="7"/>
      <c r="I78" s="7">
        <f t="shared" si="37"/>
        <v>509</v>
      </c>
      <c r="J78" s="7"/>
      <c r="K78" s="7">
        <f t="shared" si="37"/>
        <v>574</v>
      </c>
      <c r="L78" s="7"/>
      <c r="M78" s="7">
        <f t="shared" si="37"/>
        <v>610</v>
      </c>
      <c r="N78" s="7"/>
      <c r="O78" s="7">
        <f t="shared" si="37"/>
        <v>509</v>
      </c>
      <c r="P78" s="7"/>
      <c r="Q78" s="7">
        <f t="shared" si="37"/>
        <v>574</v>
      </c>
    </row>
    <row r="79" spans="1:17" x14ac:dyDescent="0.25">
      <c r="A79" s="4"/>
      <c r="B79" s="4"/>
      <c r="C79" s="4" t="s">
        <v>13</v>
      </c>
      <c r="D79" s="3"/>
      <c r="E79" s="7">
        <f t="shared" ref="E79" si="38">ROUND((E73+E74+E75+E76+E77)*0.01,2)</f>
        <v>81.38</v>
      </c>
      <c r="F79" s="7"/>
      <c r="G79" s="7">
        <f t="shared" ref="G79:Q79" si="39">ROUND((G73+G74+G75+G76+G77)*0.01,2)</f>
        <v>101.72</v>
      </c>
      <c r="H79" s="7"/>
      <c r="I79" s="7">
        <f t="shared" si="39"/>
        <v>101.72</v>
      </c>
      <c r="J79" s="7"/>
      <c r="K79" s="7">
        <f t="shared" si="39"/>
        <v>114.84</v>
      </c>
      <c r="L79" s="7"/>
      <c r="M79" s="7">
        <f t="shared" si="39"/>
        <v>122.07</v>
      </c>
      <c r="N79" s="7"/>
      <c r="O79" s="7">
        <f t="shared" si="39"/>
        <v>101.72</v>
      </c>
      <c r="P79" s="7"/>
      <c r="Q79" s="7">
        <f t="shared" si="39"/>
        <v>114.84</v>
      </c>
    </row>
    <row r="80" spans="1:17" x14ac:dyDescent="0.25">
      <c r="A80" s="4"/>
      <c r="B80" s="4"/>
      <c r="C80" s="4" t="s">
        <v>32</v>
      </c>
      <c r="D80" s="3"/>
      <c r="E80" s="7">
        <f>ROUND((11280-(E73+E74+E75+E76+E78+E77)/D73)*D73,2)</f>
        <v>2735.5</v>
      </c>
      <c r="F80" s="7"/>
      <c r="G80" s="7">
        <f>ROUND((11280-(G73+G74+G75+G76+G78+G77)/F73)*F73,2)</f>
        <v>3419.5</v>
      </c>
      <c r="H80" s="7"/>
      <c r="I80" s="7">
        <f>ROUND((11280-(I73+I74+I75+I76+I78+I77)/H73)*H73,2)</f>
        <v>3419.5</v>
      </c>
      <c r="J80" s="7"/>
      <c r="K80" s="7">
        <f>ROUND((11280-(K73+K74+K75+K76+K78+K77)/J73)*J73,2)</f>
        <v>2042.1</v>
      </c>
      <c r="L80" s="7"/>
      <c r="M80" s="7">
        <f>ROUND((11280-(M73+M74+M75+M76+M78+M77)/L73)*L73,2)</f>
        <v>4103.25</v>
      </c>
      <c r="N80" s="7"/>
      <c r="O80" s="7">
        <f>ROUND((11280-(O73+O74+O75+O76+O78+O77)/N73)*N73,2)</f>
        <v>3419.5</v>
      </c>
      <c r="P80" s="7"/>
      <c r="Q80" s="7">
        <f>ROUND((11280-(Q73+Q74+Q75+Q76+Q78+Q77)/P73)*P73,2)</f>
        <v>2042.1</v>
      </c>
    </row>
    <row r="81" spans="1:17" x14ac:dyDescent="0.25">
      <c r="A81" s="4"/>
      <c r="B81" s="4"/>
      <c r="C81" s="4" t="s">
        <v>33</v>
      </c>
      <c r="D81" s="3"/>
      <c r="E81" s="7">
        <f t="shared" ref="E81" si="40">ROUND(9489/29.3*28*D73/365*28,2)</f>
        <v>695.63</v>
      </c>
      <c r="F81" s="7"/>
      <c r="G81" s="7">
        <f>ROUND(11280/29.3*28*F73/365*28,2)</f>
        <v>1033.6500000000001</v>
      </c>
      <c r="H81" s="7"/>
      <c r="I81" s="7">
        <f>ROUND(11280/29.3*28*H73/365*28,2)</f>
        <v>1033.6500000000001</v>
      </c>
      <c r="J81" s="7"/>
      <c r="K81" s="7">
        <f>ROUND(11280/29.3*28*J73/365*28,2)</f>
        <v>1033.6500000000001</v>
      </c>
      <c r="L81" s="7"/>
      <c r="M81" s="7">
        <f>ROUND(11280/29.3*28*L73/365*28,2)</f>
        <v>1240.3800000000001</v>
      </c>
      <c r="N81" s="7"/>
      <c r="O81" s="7">
        <f>ROUND(11280/29.3*28*N73/365*28,2)</f>
        <v>1033.6500000000001</v>
      </c>
      <c r="P81" s="7"/>
      <c r="Q81" s="7">
        <f>ROUND(11280/29.3*28*P73/365*28,2)</f>
        <v>1033.6500000000001</v>
      </c>
    </row>
    <row r="82" spans="1:17" ht="30" x14ac:dyDescent="0.25">
      <c r="A82" s="4"/>
      <c r="B82" s="4"/>
      <c r="C82" s="6" t="s">
        <v>14</v>
      </c>
      <c r="D82" s="37"/>
      <c r="E82" s="39">
        <f t="shared" ref="E82" si="41">ROUND((E73+E74+E75+E76+E78+E79+E80+E81+E77)*0.302,0)</f>
        <v>3641</v>
      </c>
      <c r="F82" s="7"/>
      <c r="G82" s="7">
        <f t="shared" ref="G82:Q82" si="42">ROUND((G73+G74+G75+G76+G78+G79+G80+G81+G77)*0.302,0)</f>
        <v>4601</v>
      </c>
      <c r="H82" s="7"/>
      <c r="I82" s="7">
        <f t="shared" si="42"/>
        <v>4601</v>
      </c>
      <c r="J82" s="7"/>
      <c r="K82" s="7">
        <f t="shared" si="42"/>
        <v>4605</v>
      </c>
      <c r="L82" s="7"/>
      <c r="M82" s="7">
        <f t="shared" si="42"/>
        <v>5521</v>
      </c>
      <c r="N82" s="7"/>
      <c r="O82" s="7">
        <f t="shared" si="42"/>
        <v>4601</v>
      </c>
      <c r="P82" s="7"/>
      <c r="Q82" s="7">
        <f t="shared" si="42"/>
        <v>4605</v>
      </c>
    </row>
    <row r="83" spans="1:17" ht="30" x14ac:dyDescent="0.25">
      <c r="A83" s="4"/>
      <c r="B83" s="4"/>
      <c r="C83" s="6" t="s">
        <v>25</v>
      </c>
      <c r="D83" s="37"/>
      <c r="E83" s="39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5">
      <c r="A84" s="4"/>
      <c r="B84" s="4"/>
      <c r="C84" s="10" t="s">
        <v>15</v>
      </c>
      <c r="D84" s="38"/>
      <c r="E84" s="39">
        <f t="shared" ref="E84" si="43">E73+E74+E75+E76+E78+E79+E82+E80+E81+E77</f>
        <v>15698.01</v>
      </c>
      <c r="F84" s="7"/>
      <c r="G84" s="7">
        <f t="shared" ref="G84:Q84" si="44">G73+G74+G75+G76+G78+G79+G82+G80+G81+G77</f>
        <v>19836.370000000003</v>
      </c>
      <c r="H84" s="7"/>
      <c r="I84" s="7">
        <f t="shared" si="44"/>
        <v>19836.370000000003</v>
      </c>
      <c r="J84" s="7"/>
      <c r="K84" s="7">
        <f t="shared" si="44"/>
        <v>19853.490000000002</v>
      </c>
      <c r="L84" s="7"/>
      <c r="M84" s="7">
        <f t="shared" si="44"/>
        <v>23803.45</v>
      </c>
      <c r="N84" s="7"/>
      <c r="O84" s="7">
        <f t="shared" si="44"/>
        <v>19836.370000000003</v>
      </c>
      <c r="P84" s="7"/>
      <c r="Q84" s="7">
        <f t="shared" si="44"/>
        <v>19853.490000000002</v>
      </c>
    </row>
    <row r="85" spans="1:17" x14ac:dyDescent="0.25">
      <c r="A85" s="4"/>
      <c r="B85" s="4"/>
      <c r="C85" s="10" t="s">
        <v>16</v>
      </c>
      <c r="D85" s="38"/>
      <c r="E85" s="39">
        <f>ROUND(E84*12,0)</f>
        <v>188376</v>
      </c>
      <c r="F85" s="4"/>
      <c r="G85" s="7">
        <f>ROUND(G84*12,0)</f>
        <v>238036</v>
      </c>
      <c r="H85" s="4"/>
      <c r="I85" s="7">
        <f>ROUND(I84*12,0)</f>
        <v>238036</v>
      </c>
      <c r="J85" s="17"/>
      <c r="K85" s="7">
        <f>ROUND(K84*12,0)</f>
        <v>238242</v>
      </c>
      <c r="L85" s="17"/>
      <c r="M85" s="15">
        <f>ROUND(M84*12,0)</f>
        <v>285641</v>
      </c>
      <c r="N85" s="17"/>
      <c r="O85" s="15">
        <f>ROUND(O84*12,0)</f>
        <v>238036</v>
      </c>
      <c r="P85" s="17"/>
      <c r="Q85" s="7">
        <f>ROUND(Q84*12,0)</f>
        <v>238242</v>
      </c>
    </row>
    <row r="86" spans="1:17" ht="45.75" customHeight="1" x14ac:dyDescent="0.25">
      <c r="A86" s="3">
        <v>7</v>
      </c>
      <c r="B86" s="6" t="s">
        <v>36</v>
      </c>
      <c r="C86" s="6" t="s">
        <v>37</v>
      </c>
      <c r="D86" s="37">
        <v>1</v>
      </c>
      <c r="E86" s="39">
        <f>ROUND(3880*D86*1.01075,0)</f>
        <v>3922</v>
      </c>
      <c r="F86" s="18">
        <v>1</v>
      </c>
      <c r="G86" s="39">
        <f>ROUND(3880*F86*1.01075,0)</f>
        <v>3922</v>
      </c>
      <c r="H86" s="18">
        <v>1</v>
      </c>
      <c r="I86" s="39">
        <f>ROUND(3880*H86*1.01075,0)</f>
        <v>3922</v>
      </c>
      <c r="J86" s="18">
        <v>1</v>
      </c>
      <c r="K86" s="39">
        <f>ROUND(3880*J86*1.01075,0)</f>
        <v>3922</v>
      </c>
      <c r="L86" s="18">
        <v>1</v>
      </c>
      <c r="M86" s="39">
        <f>ROUND(3880*L86*1.01075,0)</f>
        <v>3922</v>
      </c>
      <c r="N86" s="18">
        <v>1</v>
      </c>
      <c r="O86" s="39">
        <f>ROUND(3880*N86*1.01075,0)</f>
        <v>3922</v>
      </c>
      <c r="P86" s="18">
        <v>1</v>
      </c>
      <c r="Q86" s="39">
        <f>ROUND(3880*P86*1.01075,0)</f>
        <v>3922</v>
      </c>
    </row>
    <row r="87" spans="1:17" ht="45" x14ac:dyDescent="0.25">
      <c r="A87" s="4"/>
      <c r="B87" s="4"/>
      <c r="C87" s="6" t="s">
        <v>11</v>
      </c>
      <c r="D87" s="6"/>
      <c r="E87" s="39">
        <f t="shared" ref="E87" si="45">ROUND((E86)*0.05,2)</f>
        <v>196.1</v>
      </c>
      <c r="F87" s="7"/>
      <c r="G87" s="7">
        <f t="shared" ref="G87:Q87" si="46">ROUND((G86)*0.05,2)</f>
        <v>196.1</v>
      </c>
      <c r="H87" s="7"/>
      <c r="I87" s="7">
        <f t="shared" si="46"/>
        <v>196.1</v>
      </c>
      <c r="J87" s="7"/>
      <c r="K87" s="7">
        <f t="shared" si="46"/>
        <v>196.1</v>
      </c>
      <c r="L87" s="7"/>
      <c r="M87" s="7">
        <f t="shared" si="46"/>
        <v>196.1</v>
      </c>
      <c r="N87" s="7"/>
      <c r="O87" s="7">
        <f t="shared" si="46"/>
        <v>196.1</v>
      </c>
      <c r="P87" s="7"/>
      <c r="Q87" s="7">
        <f t="shared" si="46"/>
        <v>196.1</v>
      </c>
    </row>
    <row r="88" spans="1:17" ht="30.75" customHeight="1" x14ac:dyDescent="0.25">
      <c r="A88" s="4"/>
      <c r="B88" s="4"/>
      <c r="C88" s="6" t="s">
        <v>38</v>
      </c>
      <c r="D88" s="6"/>
      <c r="E88" s="39">
        <f t="shared" ref="E88" si="47">ROUND(E86*0.2,2)</f>
        <v>784.4</v>
      </c>
      <c r="F88" s="7"/>
      <c r="G88" s="7">
        <f t="shared" ref="G88:Q88" si="48">ROUND(G86*0.2,2)</f>
        <v>784.4</v>
      </c>
      <c r="H88" s="7"/>
      <c r="I88" s="7">
        <f t="shared" si="48"/>
        <v>784.4</v>
      </c>
      <c r="J88" s="7"/>
      <c r="K88" s="7">
        <f t="shared" si="48"/>
        <v>784.4</v>
      </c>
      <c r="L88" s="7"/>
      <c r="M88" s="7">
        <f t="shared" si="48"/>
        <v>784.4</v>
      </c>
      <c r="N88" s="7"/>
      <c r="O88" s="7">
        <f t="shared" si="48"/>
        <v>784.4</v>
      </c>
      <c r="P88" s="7"/>
      <c r="Q88" s="7">
        <f t="shared" si="48"/>
        <v>784.4</v>
      </c>
    </row>
    <row r="89" spans="1:17" x14ac:dyDescent="0.25">
      <c r="A89" s="4"/>
      <c r="B89" s="4"/>
      <c r="C89" s="4" t="s">
        <v>12</v>
      </c>
      <c r="D89" s="4"/>
      <c r="E89" s="7">
        <f t="shared" ref="E89" si="49">ROUND((E86+E87+E88)*0.05,0)</f>
        <v>245</v>
      </c>
      <c r="F89" s="7"/>
      <c r="G89" s="7">
        <f t="shared" ref="G89:Q89" si="50">ROUND((G86+G87+G88)*0.05,0)</f>
        <v>245</v>
      </c>
      <c r="H89" s="7"/>
      <c r="I89" s="7">
        <f t="shared" si="50"/>
        <v>245</v>
      </c>
      <c r="J89" s="7"/>
      <c r="K89" s="7">
        <f t="shared" si="50"/>
        <v>245</v>
      </c>
      <c r="L89" s="7"/>
      <c r="M89" s="7">
        <f t="shared" si="50"/>
        <v>245</v>
      </c>
      <c r="N89" s="7"/>
      <c r="O89" s="7">
        <f t="shared" si="50"/>
        <v>245</v>
      </c>
      <c r="P89" s="7"/>
      <c r="Q89" s="7">
        <f t="shared" si="50"/>
        <v>245</v>
      </c>
    </row>
    <row r="90" spans="1:17" x14ac:dyDescent="0.25">
      <c r="A90" s="4"/>
      <c r="B90" s="4"/>
      <c r="C90" s="4" t="s">
        <v>13</v>
      </c>
      <c r="D90" s="4"/>
      <c r="E90" s="7">
        <f t="shared" ref="E90" si="51">ROUND((E86+E87+E88)*0.01,2)</f>
        <v>49.03</v>
      </c>
      <c r="F90" s="7"/>
      <c r="G90" s="7">
        <f t="shared" ref="G90:Q90" si="52">ROUND((G86+G87+G88)*0.01,2)</f>
        <v>49.03</v>
      </c>
      <c r="H90" s="7"/>
      <c r="I90" s="7">
        <f t="shared" si="52"/>
        <v>49.03</v>
      </c>
      <c r="J90" s="7"/>
      <c r="K90" s="7">
        <f t="shared" si="52"/>
        <v>49.03</v>
      </c>
      <c r="L90" s="7"/>
      <c r="M90" s="7">
        <f t="shared" si="52"/>
        <v>49.03</v>
      </c>
      <c r="N90" s="7"/>
      <c r="O90" s="7">
        <f t="shared" si="52"/>
        <v>49.03</v>
      </c>
      <c r="P90" s="7"/>
      <c r="Q90" s="7">
        <f t="shared" si="52"/>
        <v>49.03</v>
      </c>
    </row>
    <row r="91" spans="1:17" x14ac:dyDescent="0.25">
      <c r="A91" s="4"/>
      <c r="B91" s="4"/>
      <c r="C91" s="4" t="s">
        <v>32</v>
      </c>
      <c r="D91" s="4"/>
      <c r="E91" s="7">
        <f>ROUND((11280-(E86+E87+E89+E88)/D86)*D86,2)</f>
        <v>6132.5</v>
      </c>
      <c r="F91" s="7"/>
      <c r="G91" s="7">
        <f>ROUND((11280-(G86+G87+G89+G88)/F86)*F86,2)</f>
        <v>6132.5</v>
      </c>
      <c r="H91" s="7"/>
      <c r="I91" s="7">
        <f>ROUND((11280-(I86+I87+I89+I88)/H86)*H86,2)</f>
        <v>6132.5</v>
      </c>
      <c r="J91" s="7"/>
      <c r="K91" s="7">
        <f>ROUND((11280-(K86+K87+K89+K88)/J86)*J86,2)</f>
        <v>6132.5</v>
      </c>
      <c r="L91" s="7"/>
      <c r="M91" s="7">
        <f>ROUND((11280-(M86+M87+M89+M88)/L86)*L86,2)</f>
        <v>6132.5</v>
      </c>
      <c r="N91" s="7"/>
      <c r="O91" s="7">
        <f>ROUND((11280-(O86+O87+O89+O88)/N86)*N86,2)</f>
        <v>6132.5</v>
      </c>
      <c r="P91" s="7"/>
      <c r="Q91" s="7">
        <f>ROUND((11280-(Q86+Q87+Q89+Q88)/P86)*P86,2)</f>
        <v>6132.5</v>
      </c>
    </row>
    <row r="92" spans="1:17" x14ac:dyDescent="0.25">
      <c r="A92" s="4"/>
      <c r="B92" s="4"/>
      <c r="C92" s="4" t="s">
        <v>33</v>
      </c>
      <c r="D92" s="4"/>
      <c r="E92" s="7">
        <f>ROUND(11280/29.3*28*D86/365*28,2)</f>
        <v>826.92</v>
      </c>
      <c r="F92" s="7"/>
      <c r="G92" s="7">
        <f>ROUND(11280/29.3*28*F86/365*28,2)</f>
        <v>826.92</v>
      </c>
      <c r="H92" s="7"/>
      <c r="I92" s="7">
        <f>ROUND(11280/29.3*28*H86/365*28,2)</f>
        <v>826.92</v>
      </c>
      <c r="J92" s="7"/>
      <c r="K92" s="7">
        <f>ROUND(11280/29.3*28*J86/365*28,2)</f>
        <v>826.92</v>
      </c>
      <c r="L92" s="7"/>
      <c r="M92" s="7">
        <f>ROUND(11280/29.3*28*L86/365*28,2)</f>
        <v>826.92</v>
      </c>
      <c r="N92" s="7"/>
      <c r="O92" s="7">
        <f>ROUND(11280/29.3*28*N86/365*28,2)</f>
        <v>826.92</v>
      </c>
      <c r="P92" s="7"/>
      <c r="Q92" s="7">
        <f>ROUND(11280/29.3*28*P86/365*28,2)</f>
        <v>826.92</v>
      </c>
    </row>
    <row r="93" spans="1:17" ht="30" x14ac:dyDescent="0.25">
      <c r="A93" s="4"/>
      <c r="B93" s="4"/>
      <c r="C93" s="6" t="s">
        <v>14</v>
      </c>
      <c r="D93" s="6"/>
      <c r="E93" s="39">
        <f t="shared" ref="E93" si="53">ROUND((E86+E87+E89+E90+E91+E92+E88)*0.302,0)</f>
        <v>3671</v>
      </c>
      <c r="F93" s="7"/>
      <c r="G93" s="7">
        <f t="shared" ref="G93:Q93" si="54">ROUND((G86+G87+G89+G90+G91+G92+G88)*0.302,0)</f>
        <v>3671</v>
      </c>
      <c r="H93" s="7"/>
      <c r="I93" s="7">
        <f t="shared" si="54"/>
        <v>3671</v>
      </c>
      <c r="J93" s="7"/>
      <c r="K93" s="7">
        <f t="shared" si="54"/>
        <v>3671</v>
      </c>
      <c r="L93" s="7"/>
      <c r="M93" s="7">
        <f t="shared" si="54"/>
        <v>3671</v>
      </c>
      <c r="N93" s="7"/>
      <c r="O93" s="7">
        <f t="shared" si="54"/>
        <v>3671</v>
      </c>
      <c r="P93" s="7"/>
      <c r="Q93" s="7">
        <f t="shared" si="54"/>
        <v>3671</v>
      </c>
    </row>
    <row r="94" spans="1:17" ht="30" x14ac:dyDescent="0.25">
      <c r="A94" s="4"/>
      <c r="B94" s="4"/>
      <c r="C94" s="6" t="s">
        <v>39</v>
      </c>
      <c r="D94" s="6"/>
      <c r="E94" s="3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"/>
      <c r="B95" s="4"/>
      <c r="C95" s="10" t="s">
        <v>15</v>
      </c>
      <c r="D95" s="10"/>
      <c r="E95" s="39">
        <f t="shared" ref="E95" si="55">E86+E87+E89+E90+E93+E91+E92+E88</f>
        <v>15826.95</v>
      </c>
      <c r="F95" s="7"/>
      <c r="G95" s="7">
        <f t="shared" ref="G95:Q95" si="56">G86+G87+G89+G90+G93+G91+G92+G88</f>
        <v>15826.95</v>
      </c>
      <c r="H95" s="7"/>
      <c r="I95" s="7">
        <f t="shared" si="56"/>
        <v>15826.95</v>
      </c>
      <c r="J95" s="7"/>
      <c r="K95" s="7">
        <f t="shared" si="56"/>
        <v>15826.95</v>
      </c>
      <c r="L95" s="7"/>
      <c r="M95" s="7">
        <f t="shared" si="56"/>
        <v>15826.95</v>
      </c>
      <c r="N95" s="7"/>
      <c r="O95" s="7">
        <f t="shared" si="56"/>
        <v>15826.95</v>
      </c>
      <c r="P95" s="7"/>
      <c r="Q95" s="7">
        <f t="shared" si="56"/>
        <v>15826.95</v>
      </c>
    </row>
    <row r="96" spans="1:17" x14ac:dyDescent="0.25">
      <c r="A96" s="4"/>
      <c r="B96" s="4"/>
      <c r="C96" s="10" t="s">
        <v>16</v>
      </c>
      <c r="D96" s="10"/>
      <c r="E96" s="39">
        <f t="shared" ref="E96" si="57">ROUND(E95*12,0)</f>
        <v>189923</v>
      </c>
      <c r="F96" s="7"/>
      <c r="G96" s="7">
        <f t="shared" ref="G96:Q96" si="58">ROUND(G95*12,0)</f>
        <v>189923</v>
      </c>
      <c r="H96" s="7"/>
      <c r="I96" s="7">
        <f t="shared" si="58"/>
        <v>189923</v>
      </c>
      <c r="J96" s="7"/>
      <c r="K96" s="7">
        <f t="shared" si="58"/>
        <v>189923</v>
      </c>
      <c r="L96" s="7"/>
      <c r="M96" s="7">
        <f t="shared" si="58"/>
        <v>189923</v>
      </c>
      <c r="N96" s="7"/>
      <c r="O96" s="7">
        <f t="shared" si="58"/>
        <v>189923</v>
      </c>
      <c r="P96" s="7"/>
      <c r="Q96" s="7">
        <f t="shared" si="58"/>
        <v>189923</v>
      </c>
    </row>
    <row r="97" spans="1:19" ht="19.5" customHeight="1" x14ac:dyDescent="0.25">
      <c r="A97" s="4"/>
      <c r="B97" s="63" t="s">
        <v>29</v>
      </c>
      <c r="C97" s="64"/>
      <c r="D97" s="32"/>
      <c r="E97" s="35"/>
      <c r="F97" s="4"/>
      <c r="G97" s="4"/>
      <c r="H97" s="4"/>
      <c r="I97" s="4"/>
      <c r="J97" s="4"/>
      <c r="K97" s="4"/>
      <c r="L97" s="4"/>
      <c r="M97" s="17"/>
      <c r="N97" s="17"/>
      <c r="O97" s="17"/>
      <c r="P97" s="4"/>
      <c r="Q97" s="4"/>
    </row>
    <row r="98" spans="1:19" ht="48.75" customHeight="1" x14ac:dyDescent="0.25">
      <c r="A98" s="4"/>
      <c r="B98" s="6"/>
      <c r="C98" s="6" t="s">
        <v>58</v>
      </c>
      <c r="D98" s="6"/>
      <c r="E98" s="39">
        <f>ROUND((E19+E33+E46+E59+E72+E85+E96)*0.192,2)</f>
        <v>186661.39</v>
      </c>
      <c r="F98" s="7"/>
      <c r="G98" s="7">
        <f>ROUND((G19+G33+G46+G59+G72+G85+G96)*0.192,2)</f>
        <v>208683.46</v>
      </c>
      <c r="H98" s="7"/>
      <c r="I98" s="7">
        <f>ROUND((I19+I33+I46+I59+I72+I85+I96)*0.192,2)</f>
        <v>216352.07</v>
      </c>
      <c r="J98" s="7"/>
      <c r="K98" s="7">
        <f>ROUND((K19+K33+K46+K59+K72+K85+K96)*0.192,2)</f>
        <v>362998.53</v>
      </c>
      <c r="L98" s="7"/>
      <c r="M98" s="7">
        <f>ROUND((M19+M33+M46+M59+M72+M85+M96)*0.192,2)</f>
        <v>264156.44</v>
      </c>
      <c r="N98" s="7"/>
      <c r="O98" s="7">
        <f>ROUND((O19+O33+O46+O59+O72+O85+O96)*0.192,2)</f>
        <v>262684.89</v>
      </c>
      <c r="P98" s="7"/>
      <c r="Q98" s="7">
        <f>ROUND((Q19+Q33+Q46+Q59+Q72+Q85+Q96)*0.192,2)</f>
        <v>397258.69</v>
      </c>
    </row>
    <row r="99" spans="1:19" ht="64.5" customHeight="1" x14ac:dyDescent="0.25">
      <c r="A99" s="4"/>
      <c r="B99" s="58" t="s">
        <v>31</v>
      </c>
      <c r="C99" s="62"/>
      <c r="D99" s="33"/>
      <c r="E99" s="40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9" ht="45.75" customHeight="1" x14ac:dyDescent="0.25">
      <c r="A100" s="4"/>
      <c r="B100" s="6"/>
      <c r="C100" s="6" t="s">
        <v>60</v>
      </c>
      <c r="D100" s="6"/>
      <c r="E100" s="39">
        <f>ROUND((E19+E33+E46+E59+E72+E85+E96)*0.028,2)</f>
        <v>27221.45</v>
      </c>
      <c r="F100" s="7"/>
      <c r="G100" s="7">
        <f>ROUND((G19+G33+G46+G59+G72+G85+G96)*0.028,2)</f>
        <v>30433.01</v>
      </c>
      <c r="H100" s="7"/>
      <c r="I100" s="7">
        <f>ROUND((I19+I33+I46+I59+I72+I85+I96)*0.028,2)</f>
        <v>31551.34</v>
      </c>
      <c r="J100" s="7"/>
      <c r="K100" s="7">
        <f>ROUND((K19+K33+K46+K59+K72+K85+K96)*0.028,2)</f>
        <v>52937.29</v>
      </c>
      <c r="L100" s="7"/>
      <c r="M100" s="7">
        <f>ROUND((M19+M33+M46+M59+M72+M85+M96)*0.028,2)</f>
        <v>38522.81</v>
      </c>
      <c r="N100" s="7"/>
      <c r="O100" s="7">
        <f>ROUND((O19+O33+O46+O59+O72+O85+O96)*0.028,2)</f>
        <v>38308.21</v>
      </c>
      <c r="P100" s="7"/>
      <c r="Q100" s="7">
        <f>ROUND((Q19+Q33+Q46+Q59+Q72+Q85+Q96)*0.028,2)</f>
        <v>57933.56</v>
      </c>
    </row>
    <row r="101" spans="1:19" ht="66.75" customHeight="1" x14ac:dyDescent="0.25">
      <c r="A101" s="4"/>
      <c r="B101" s="58" t="s">
        <v>35</v>
      </c>
      <c r="C101" s="62"/>
      <c r="D101" s="33"/>
      <c r="E101" s="4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9" ht="50.25" customHeight="1" x14ac:dyDescent="0.25">
      <c r="A102" s="4"/>
      <c r="B102" s="6"/>
      <c r="C102" s="6" t="s">
        <v>59</v>
      </c>
      <c r="D102" s="6"/>
      <c r="E102" s="39">
        <f>ROUND((E19+E33+E46+E59+E72+E85+E96)*0.038,2)</f>
        <v>36943.4</v>
      </c>
      <c r="F102" s="7"/>
      <c r="G102" s="7">
        <f>ROUND((G19+G33+G46+G59+G72+G85+G96)*0.038,2)</f>
        <v>41301.94</v>
      </c>
      <c r="H102" s="7"/>
      <c r="I102" s="7">
        <f t="shared" ref="I102:Q102" si="59">ROUND((I19+I33+I46+I59+I72+I85+I96)*0.038,2)</f>
        <v>42819.68</v>
      </c>
      <c r="J102" s="7"/>
      <c r="K102" s="7">
        <f t="shared" si="59"/>
        <v>71843.460000000006</v>
      </c>
      <c r="L102" s="7"/>
      <c r="M102" s="7">
        <f t="shared" si="59"/>
        <v>52280.959999999999</v>
      </c>
      <c r="N102" s="7"/>
      <c r="O102" s="7">
        <f t="shared" si="59"/>
        <v>51989.72</v>
      </c>
      <c r="P102" s="7"/>
      <c r="Q102" s="7">
        <f t="shared" si="59"/>
        <v>78624.12</v>
      </c>
    </row>
    <row r="103" spans="1:19" ht="68.25" customHeight="1" x14ac:dyDescent="0.25">
      <c r="A103" s="4"/>
      <c r="B103" s="58" t="s">
        <v>30</v>
      </c>
      <c r="C103" s="62"/>
      <c r="D103" s="33"/>
      <c r="E103" s="7">
        <f>E19+E33+E46+E59+E72+E85+E96+E98+E100+E102</f>
        <v>1223020.9599999997</v>
      </c>
      <c r="F103" s="22"/>
      <c r="G103" s="22">
        <f>G19+G33+G46+G59+G72+G85+G96+G98+G100+G102</f>
        <v>1367311.45</v>
      </c>
      <c r="H103" s="22"/>
      <c r="I103" s="22">
        <f>I19+I33+I46+I59+I72+I85+I96+I98+I100+I102</f>
        <v>1417556.8100000003</v>
      </c>
      <c r="J103" s="22"/>
      <c r="K103" s="22">
        <f>K19+K33+K46+K59+K72+K85+K96+K98+K100+K102</f>
        <v>2378396.6399999997</v>
      </c>
      <c r="L103" s="22"/>
      <c r="M103" s="22">
        <f>M19+M33+M46+M59+M72+M85+M96+M98+M100+M102</f>
        <v>1730775.01</v>
      </c>
      <c r="N103" s="22"/>
      <c r="O103" s="22">
        <f>O19+O33+O46+O59+O72+O85+O96+O98+O100+O102</f>
        <v>1721133.3</v>
      </c>
      <c r="P103" s="22"/>
      <c r="Q103" s="22">
        <f>Q19+Q33+Q46+Q59+Q72+Q85+Q96+Q98+Q100+Q102</f>
        <v>2602872.0500000003</v>
      </c>
    </row>
    <row r="104" spans="1:19" ht="22.5" customHeight="1" x14ac:dyDescent="0.25">
      <c r="A104" s="4"/>
      <c r="B104" s="69"/>
      <c r="C104" s="70"/>
      <c r="D104" s="35"/>
      <c r="E104" s="35"/>
      <c r="F104" s="7"/>
      <c r="G104" s="7"/>
      <c r="H104" s="7"/>
      <c r="I104" s="7"/>
      <c r="J104" s="7"/>
      <c r="K104" s="7"/>
      <c r="L104" s="7"/>
      <c r="M104" s="7"/>
      <c r="N104" s="15"/>
      <c r="O104" s="7"/>
      <c r="P104" s="4"/>
      <c r="Q104" s="7"/>
    </row>
    <row r="105" spans="1:19" ht="47.25" customHeight="1" x14ac:dyDescent="0.25">
      <c r="A105" s="4"/>
      <c r="B105" s="58" t="s">
        <v>41</v>
      </c>
      <c r="C105" s="62"/>
      <c r="D105" s="42">
        <v>25</v>
      </c>
      <c r="E105" s="5">
        <f>ROUND(E103/D105,0)</f>
        <v>48921</v>
      </c>
      <c r="F105" s="25">
        <v>20</v>
      </c>
      <c r="G105" s="5">
        <f>ROUND(G103/F105,0)</f>
        <v>68366</v>
      </c>
      <c r="H105" s="25">
        <v>25</v>
      </c>
      <c r="I105" s="5">
        <f>ROUND(I103/H105,0)</f>
        <v>56702</v>
      </c>
      <c r="J105" s="25">
        <v>10</v>
      </c>
      <c r="K105" s="5">
        <f>ROUND(K103/J105,0)</f>
        <v>237840</v>
      </c>
      <c r="L105" s="25">
        <v>20</v>
      </c>
      <c r="M105" s="5">
        <f>ROUND(M103/L105,0)</f>
        <v>86539</v>
      </c>
      <c r="N105" s="26">
        <v>25</v>
      </c>
      <c r="O105" s="5">
        <f>ROUND(O103/N105,0)</f>
        <v>68845</v>
      </c>
      <c r="P105" s="26">
        <v>10</v>
      </c>
      <c r="Q105" s="5">
        <f>ROUND(Q103/P105,0)</f>
        <v>260287</v>
      </c>
      <c r="R105" s="27"/>
      <c r="S105" s="28"/>
    </row>
    <row r="106" spans="1:19" ht="46.5" customHeight="1" x14ac:dyDescent="0.25">
      <c r="A106" s="4"/>
      <c r="B106" s="58" t="s">
        <v>42</v>
      </c>
      <c r="C106" s="62"/>
      <c r="D106" s="4"/>
      <c r="E106" s="44">
        <v>54416</v>
      </c>
      <c r="F106" s="4"/>
      <c r="G106" s="44">
        <v>54416</v>
      </c>
      <c r="H106" s="4"/>
      <c r="I106" s="44">
        <v>54416</v>
      </c>
      <c r="J106" s="4"/>
      <c r="K106" s="44">
        <v>54416</v>
      </c>
      <c r="L106" s="4"/>
      <c r="M106" s="44">
        <v>54416</v>
      </c>
      <c r="N106" s="17"/>
      <c r="O106" s="44">
        <v>54416</v>
      </c>
      <c r="P106" s="4"/>
      <c r="Q106" s="44">
        <v>54416</v>
      </c>
    </row>
    <row r="107" spans="1:19" ht="77.25" customHeight="1" x14ac:dyDescent="0.25">
      <c r="A107" s="4"/>
      <c r="B107" s="60" t="s">
        <v>43</v>
      </c>
      <c r="C107" s="61"/>
      <c r="D107" s="43"/>
      <c r="E107" s="20">
        <f>ROUND(E105/E106,3)</f>
        <v>0.89900000000000002</v>
      </c>
      <c r="F107" s="3"/>
      <c r="G107" s="3">
        <f t="shared" ref="G107:Q107" si="60">ROUND(G105/G106,3)</f>
        <v>1.256</v>
      </c>
      <c r="H107" s="3"/>
      <c r="I107" s="3">
        <f t="shared" si="60"/>
        <v>1.042</v>
      </c>
      <c r="J107" s="3"/>
      <c r="K107" s="3">
        <f t="shared" si="60"/>
        <v>4.3710000000000004</v>
      </c>
      <c r="L107" s="3"/>
      <c r="M107" s="3">
        <f t="shared" si="60"/>
        <v>1.59</v>
      </c>
      <c r="N107" s="3"/>
      <c r="O107" s="3">
        <f t="shared" si="60"/>
        <v>1.2649999999999999</v>
      </c>
      <c r="P107" s="3"/>
      <c r="Q107" s="3">
        <f t="shared" si="60"/>
        <v>4.7830000000000004</v>
      </c>
    </row>
  </sheetData>
  <mergeCells count="21">
    <mergeCell ref="A1:Q1"/>
    <mergeCell ref="F4:G4"/>
    <mergeCell ref="H4:I4"/>
    <mergeCell ref="J4:K4"/>
    <mergeCell ref="L4:M4"/>
    <mergeCell ref="D3:Q3"/>
    <mergeCell ref="P4:Q4"/>
    <mergeCell ref="A3:A5"/>
    <mergeCell ref="N2:Q2"/>
    <mergeCell ref="B106:C106"/>
    <mergeCell ref="B107:C107"/>
    <mergeCell ref="B104:C104"/>
    <mergeCell ref="B105:C105"/>
    <mergeCell ref="N4:O4"/>
    <mergeCell ref="B97:C97"/>
    <mergeCell ref="B99:C99"/>
    <mergeCell ref="B101:C101"/>
    <mergeCell ref="B103:C103"/>
    <mergeCell ref="D4:E4"/>
    <mergeCell ref="C3:C5"/>
    <mergeCell ref="B3:B5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8" max="16" man="1"/>
    <brk id="52" max="16" man="1"/>
    <brk id="8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="69" zoomScaleNormal="81" zoomScaleSheetLayoutView="69" workbookViewId="0">
      <pane xSplit="3" ySplit="4" topLeftCell="D101" activePane="bottomRight" state="frozen"/>
      <selection pane="topRight" activeCell="D1" sqref="D1"/>
      <selection pane="bottomLeft" activeCell="A5" sqref="A5"/>
      <selection pane="bottomRight" activeCell="D2" sqref="D2:Q2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19" customWidth="1"/>
    <col min="14" max="14" width="14.85546875" style="19" customWidth="1"/>
    <col min="15" max="15" width="15.7109375" style="19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46.5" customHeight="1" x14ac:dyDescent="0.25">
      <c r="A2" s="74" t="s">
        <v>2</v>
      </c>
      <c r="B2" s="74" t="s">
        <v>0</v>
      </c>
      <c r="C2" s="74" t="s">
        <v>1</v>
      </c>
      <c r="D2" s="71" t="s">
        <v>68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2" customFormat="1" ht="51" customHeight="1" x14ac:dyDescent="0.25">
      <c r="A3" s="75"/>
      <c r="B3" s="75"/>
      <c r="C3" s="75"/>
      <c r="D3" s="67" t="s">
        <v>40</v>
      </c>
      <c r="E3" s="67"/>
      <c r="F3" s="67" t="s">
        <v>26</v>
      </c>
      <c r="G3" s="67"/>
      <c r="H3" s="71" t="s">
        <v>19</v>
      </c>
      <c r="I3" s="73"/>
      <c r="J3" s="65" t="s">
        <v>63</v>
      </c>
      <c r="K3" s="66"/>
      <c r="L3" s="67" t="s">
        <v>8</v>
      </c>
      <c r="M3" s="67"/>
      <c r="N3" s="65" t="s">
        <v>9</v>
      </c>
      <c r="O3" s="66"/>
      <c r="P3" s="65" t="s">
        <v>64</v>
      </c>
      <c r="Q3" s="66"/>
    </row>
    <row r="4" spans="1:17" ht="48.75" customHeight="1" x14ac:dyDescent="0.25">
      <c r="A4" s="76"/>
      <c r="B4" s="76"/>
      <c r="C4" s="76"/>
      <c r="D4" s="49" t="s">
        <v>5</v>
      </c>
      <c r="E4" s="47" t="s">
        <v>6</v>
      </c>
      <c r="F4" s="49" t="s">
        <v>5</v>
      </c>
      <c r="G4" s="47" t="s">
        <v>6</v>
      </c>
      <c r="H4" s="49" t="s">
        <v>5</v>
      </c>
      <c r="I4" s="47" t="s">
        <v>6</v>
      </c>
      <c r="J4" s="49" t="s">
        <v>5</v>
      </c>
      <c r="K4" s="47" t="s">
        <v>6</v>
      </c>
      <c r="L4" s="49" t="s">
        <v>5</v>
      </c>
      <c r="M4" s="31" t="s">
        <v>6</v>
      </c>
      <c r="N4" s="13" t="s">
        <v>5</v>
      </c>
      <c r="O4" s="31" t="s">
        <v>6</v>
      </c>
      <c r="P4" s="47" t="s">
        <v>5</v>
      </c>
      <c r="Q4" s="47" t="s">
        <v>6</v>
      </c>
    </row>
    <row r="5" spans="1:17" ht="45" x14ac:dyDescent="0.25">
      <c r="A5" s="3">
        <v>1</v>
      </c>
      <c r="B5" s="4" t="s">
        <v>3</v>
      </c>
      <c r="C5" s="6" t="s">
        <v>37</v>
      </c>
      <c r="D5" s="7">
        <v>1.25</v>
      </c>
      <c r="E5" s="7">
        <f>ROUND(8216*D5*1.043*1.0095,2)</f>
        <v>10813.37</v>
      </c>
      <c r="F5" s="7">
        <v>1.39</v>
      </c>
      <c r="G5" s="7">
        <f>ROUND(8216*F5*1.043*1.0095,2)</f>
        <v>12024.47</v>
      </c>
      <c r="H5" s="7">
        <v>1.39</v>
      </c>
      <c r="I5" s="7">
        <f>ROUND(8216*H5*1.043*1.0095,2)</f>
        <v>12024.47</v>
      </c>
      <c r="J5" s="15">
        <v>2</v>
      </c>
      <c r="K5" s="7">
        <f>ROUND(8216*J5*1.043*1.0095,2)</f>
        <v>17301.39</v>
      </c>
      <c r="L5" s="15">
        <v>2</v>
      </c>
      <c r="M5" s="7">
        <f>ROUND(8216*L5*1.043*1.0095,2)</f>
        <v>17301.39</v>
      </c>
      <c r="N5" s="15">
        <v>2</v>
      </c>
      <c r="O5" s="7">
        <f>ROUND(8216*N5*1.043*1.0095,2)</f>
        <v>17301.39</v>
      </c>
      <c r="P5" s="15">
        <v>2.4</v>
      </c>
      <c r="Q5" s="7">
        <f>ROUND(8216*P5*1.043*1.0095,2)</f>
        <v>20761.669999999998</v>
      </c>
    </row>
    <row r="6" spans="1:17" ht="57" customHeight="1" x14ac:dyDescent="0.25">
      <c r="A6" s="3"/>
      <c r="B6" s="4"/>
      <c r="C6" s="6" t="s">
        <v>46</v>
      </c>
      <c r="D6" s="7"/>
      <c r="E6" s="7">
        <f>ROUND(E5*0.3,2)</f>
        <v>3244.01</v>
      </c>
      <c r="F6" s="7"/>
      <c r="G6" s="7">
        <f>ROUND(G5*0.3,2)</f>
        <v>3607.34</v>
      </c>
      <c r="H6" s="7"/>
      <c r="I6" s="7">
        <f>ROUND(I5*0.3,2)</f>
        <v>3607.34</v>
      </c>
      <c r="J6" s="15"/>
      <c r="K6" s="7">
        <f>ROUND(K5*0.3,2)</f>
        <v>5190.42</v>
      </c>
      <c r="L6" s="15"/>
      <c r="M6" s="15">
        <f>ROUND(M5*0.3,2)</f>
        <v>5190.42</v>
      </c>
      <c r="N6" s="15"/>
      <c r="O6" s="15">
        <f>ROUND(O5*0.3,2)</f>
        <v>5190.42</v>
      </c>
      <c r="P6" s="15"/>
      <c r="Q6" s="7">
        <f>ROUND(Q5*0.3,2)</f>
        <v>6228.5</v>
      </c>
    </row>
    <row r="7" spans="1:17" ht="55.5" customHeight="1" x14ac:dyDescent="0.25">
      <c r="A7" s="3"/>
      <c r="B7" s="4"/>
      <c r="C7" s="6" t="s">
        <v>45</v>
      </c>
      <c r="D7" s="7"/>
      <c r="E7" s="7"/>
      <c r="F7" s="7"/>
      <c r="G7" s="7"/>
      <c r="H7" s="7"/>
      <c r="I7" s="7"/>
      <c r="J7" s="15"/>
      <c r="K7" s="7">
        <f>ROUND((K5+K6)*0.2,2)</f>
        <v>4498.3599999999997</v>
      </c>
      <c r="L7" s="15"/>
      <c r="M7" s="15"/>
      <c r="N7" s="15"/>
      <c r="O7" s="15"/>
      <c r="P7" s="15"/>
      <c r="Q7" s="7">
        <f>ROUND((Q5+Q6)*0.2,2)</f>
        <v>5398.03</v>
      </c>
    </row>
    <row r="8" spans="1:17" ht="50.25" customHeight="1" x14ac:dyDescent="0.25">
      <c r="A8" s="4"/>
      <c r="B8" s="4"/>
      <c r="C8" s="6" t="s">
        <v>47</v>
      </c>
      <c r="D8" s="4"/>
      <c r="E8" s="7">
        <f>ROUND((E5+E6)*0.3,2)</f>
        <v>4217.21</v>
      </c>
      <c r="F8" s="5"/>
      <c r="G8" s="7">
        <f>ROUND((G5+G6)*0.3,2)</f>
        <v>4689.54</v>
      </c>
      <c r="H8" s="5"/>
      <c r="I8" s="7">
        <f>ROUND((I5+I6)*0.3,2)</f>
        <v>4689.54</v>
      </c>
      <c r="J8" s="16"/>
      <c r="K8" s="7">
        <f>ROUND((K5+K6)*0.3,2)</f>
        <v>6747.54</v>
      </c>
      <c r="L8" s="16"/>
      <c r="M8" s="15">
        <f>ROUND((M5+M6)*0.3,2)</f>
        <v>6747.54</v>
      </c>
      <c r="N8" s="16"/>
      <c r="O8" s="15">
        <f>ROUND((O5+O6)*0.3,2)</f>
        <v>6747.54</v>
      </c>
      <c r="P8" s="16"/>
      <c r="Q8" s="7">
        <f>ROUND((Q5+Q6)*0.3,2)</f>
        <v>8097.05</v>
      </c>
    </row>
    <row r="9" spans="1:17" ht="46.5" customHeight="1" x14ac:dyDescent="0.25">
      <c r="A9" s="4"/>
      <c r="B9" s="4"/>
      <c r="C9" s="6" t="s">
        <v>11</v>
      </c>
      <c r="D9" s="4"/>
      <c r="E9" s="7">
        <f t="shared" ref="E9" si="0">ROUND((E5+E6)*0.05,2)</f>
        <v>702.87</v>
      </c>
      <c r="F9" s="7"/>
      <c r="G9" s="7">
        <f>ROUND((G5+G6)*0.05,2)</f>
        <v>781.59</v>
      </c>
      <c r="H9" s="7"/>
      <c r="I9" s="7">
        <f>ROUND((I5+I6)*0.05,2)</f>
        <v>781.59</v>
      </c>
      <c r="J9" s="7"/>
      <c r="K9" s="7">
        <f>ROUND((K5+K6)*0.05,2)</f>
        <v>1124.5899999999999</v>
      </c>
      <c r="L9" s="7"/>
      <c r="M9" s="7">
        <f>ROUND((M5+M6)*0.05,2)</f>
        <v>1124.5899999999999</v>
      </c>
      <c r="N9" s="7"/>
      <c r="O9" s="7">
        <f>ROUND((O5+O6)*0.05,2)</f>
        <v>1124.5899999999999</v>
      </c>
      <c r="P9" s="7"/>
      <c r="Q9" s="7">
        <f>ROUND((Q5+Q6)*0.05,2)</f>
        <v>1349.51</v>
      </c>
    </row>
    <row r="10" spans="1:17" ht="61.5" customHeight="1" x14ac:dyDescent="0.25">
      <c r="A10" s="4"/>
      <c r="B10" s="4"/>
      <c r="C10" s="6" t="s">
        <v>48</v>
      </c>
      <c r="D10" s="4"/>
      <c r="E10" s="7">
        <f t="shared" ref="E10" si="1">ROUND(E5*0.4,2)</f>
        <v>4325.3500000000004</v>
      </c>
      <c r="F10" s="7"/>
      <c r="G10" s="7">
        <f>ROUND(G5*0.4,2)</f>
        <v>4809.79</v>
      </c>
      <c r="H10" s="7"/>
      <c r="I10" s="7">
        <f t="shared" ref="I10:Q10" si="2">ROUND(I5*0.4,2)</f>
        <v>4809.79</v>
      </c>
      <c r="J10" s="7"/>
      <c r="K10" s="7">
        <f t="shared" si="2"/>
        <v>6920.56</v>
      </c>
      <c r="L10" s="7"/>
      <c r="M10" s="7">
        <f t="shared" si="2"/>
        <v>6920.56</v>
      </c>
      <c r="N10" s="7"/>
      <c r="O10" s="7">
        <f t="shared" si="2"/>
        <v>6920.56</v>
      </c>
      <c r="P10" s="7"/>
      <c r="Q10" s="7">
        <f t="shared" si="2"/>
        <v>8304.67</v>
      </c>
    </row>
    <row r="11" spans="1:17" ht="39.75" customHeight="1" x14ac:dyDescent="0.25">
      <c r="A11" s="4"/>
      <c r="B11" s="4"/>
      <c r="C11" s="6" t="s">
        <v>61</v>
      </c>
      <c r="D11" s="4"/>
      <c r="E11" s="7">
        <f t="shared" ref="E11" si="3">ROUND(E5*0.2,2)</f>
        <v>2162.67</v>
      </c>
      <c r="F11" s="7"/>
      <c r="G11" s="7">
        <f>ROUND(G5*0.4,2)</f>
        <v>4809.79</v>
      </c>
      <c r="H11" s="7"/>
      <c r="I11" s="7">
        <f>ROUND(I5*0.4,2)</f>
        <v>4809.79</v>
      </c>
      <c r="J11" s="7"/>
      <c r="K11" s="7">
        <f>ROUND(K5*0.4,2)</f>
        <v>6920.56</v>
      </c>
      <c r="L11" s="7"/>
      <c r="M11" s="7">
        <f>ROUND(M5*0.4,2)</f>
        <v>6920.56</v>
      </c>
      <c r="N11" s="7"/>
      <c r="O11" s="7">
        <f>ROUND(O5*0.4,2)</f>
        <v>6920.56</v>
      </c>
      <c r="P11" s="7"/>
      <c r="Q11" s="7">
        <f>ROUND(Q5*0.4,2)</f>
        <v>8304.67</v>
      </c>
    </row>
    <row r="12" spans="1:17" ht="28.5" customHeight="1" x14ac:dyDescent="0.25">
      <c r="A12" s="4"/>
      <c r="B12" s="4"/>
      <c r="C12" s="4" t="s">
        <v>12</v>
      </c>
      <c r="D12" s="4"/>
      <c r="E12" s="7">
        <f t="shared" ref="E12" si="4">ROUND((E5+E6+E7+E8++E9+E10+E11)*0.05,2)</f>
        <v>1273.27</v>
      </c>
      <c r="F12" s="7"/>
      <c r="G12" s="7">
        <f>ROUND((G5+G6+G7+G8++G9+G10+G11)*0.05,2)</f>
        <v>1536.13</v>
      </c>
      <c r="H12" s="7"/>
      <c r="I12" s="7">
        <f t="shared" ref="I12:Q12" si="5">ROUND((I5+I6+I7+I8++I9+I10+I11)*0.05,2)</f>
        <v>1536.13</v>
      </c>
      <c r="J12" s="7"/>
      <c r="K12" s="7">
        <f t="shared" si="5"/>
        <v>2435.17</v>
      </c>
      <c r="L12" s="7"/>
      <c r="M12" s="7">
        <f t="shared" si="5"/>
        <v>2210.25</v>
      </c>
      <c r="N12" s="7"/>
      <c r="O12" s="7">
        <f t="shared" si="5"/>
        <v>2210.25</v>
      </c>
      <c r="P12" s="7"/>
      <c r="Q12" s="7">
        <f t="shared" si="5"/>
        <v>2922.21</v>
      </c>
    </row>
    <row r="13" spans="1:17" ht="24.75" customHeight="1" x14ac:dyDescent="0.25">
      <c r="A13" s="4"/>
      <c r="B13" s="4"/>
      <c r="C13" s="4" t="s">
        <v>13</v>
      </c>
      <c r="D13" s="4"/>
      <c r="E13" s="3">
        <f t="shared" ref="E13" si="6">ROUND((E5+E6+E7+E8+E9+E10+E11)*0.01,2)</f>
        <v>254.65</v>
      </c>
      <c r="F13" s="3"/>
      <c r="G13" s="3">
        <f>ROUND((G5+G6+G7+G8+G9+G10+G11)*0.01,2)</f>
        <v>307.23</v>
      </c>
      <c r="H13" s="3"/>
      <c r="I13" s="3">
        <f t="shared" ref="I13:Q13" si="7">ROUND((I5+I6+I7+I8+I9+I10+I11)*0.01,2)</f>
        <v>307.23</v>
      </c>
      <c r="J13" s="3"/>
      <c r="K13" s="3">
        <f t="shared" si="7"/>
        <v>487.03</v>
      </c>
      <c r="L13" s="3"/>
      <c r="M13" s="3">
        <f t="shared" si="7"/>
        <v>442.05</v>
      </c>
      <c r="N13" s="3"/>
      <c r="O13" s="3">
        <f t="shared" si="7"/>
        <v>442.05</v>
      </c>
      <c r="P13" s="3"/>
      <c r="Q13" s="3">
        <f t="shared" si="7"/>
        <v>584.44000000000005</v>
      </c>
    </row>
    <row r="14" spans="1:17" ht="24.75" customHeight="1" x14ac:dyDescent="0.25">
      <c r="A14" s="4"/>
      <c r="B14" s="4"/>
      <c r="C14" s="4" t="s">
        <v>33</v>
      </c>
      <c r="D14" s="4"/>
      <c r="E14" s="7">
        <f t="shared" ref="E14" si="8">ROUND(22165.64/29.3*42/12*D5,2)</f>
        <v>3309.72</v>
      </c>
      <c r="F14" s="7"/>
      <c r="G14" s="7">
        <f>ROUND(23687.14/29.3*42/12*F5,2)</f>
        <v>3933.04</v>
      </c>
      <c r="H14" s="7"/>
      <c r="I14" s="7">
        <f>ROUND(23687.14/29.3*42/12*H5,2)</f>
        <v>3933.04</v>
      </c>
      <c r="J14" s="7"/>
      <c r="K14" s="7">
        <f>ROUND(23687.14/29.3*56/12*J5,2)</f>
        <v>7545.39</v>
      </c>
      <c r="L14" s="7"/>
      <c r="M14" s="7">
        <f>ROUND(23687.14/29.3*42/12*L5,2)</f>
        <v>5659.04</v>
      </c>
      <c r="N14" s="7"/>
      <c r="O14" s="7">
        <f>ROUND(23687.14/29.3*42/12*N5,2)</f>
        <v>5659.04</v>
      </c>
      <c r="P14" s="7"/>
      <c r="Q14" s="7">
        <f>ROUND(23687.14/29.3*56/12*P5,2)</f>
        <v>9054.4699999999993</v>
      </c>
    </row>
    <row r="15" spans="1:17" ht="39" customHeight="1" x14ac:dyDescent="0.25">
      <c r="A15" s="4"/>
      <c r="B15" s="4"/>
      <c r="C15" s="6" t="s">
        <v>14</v>
      </c>
      <c r="D15" s="4"/>
      <c r="E15" s="11">
        <f t="shared" ref="E15" si="9">ROUND((E5+E6+E7+E8+E9+E10+E12+E13+E14+E11)*0.302,2)</f>
        <v>9151.5400000000009</v>
      </c>
      <c r="F15" s="11"/>
      <c r="G15" s="11">
        <f>ROUND((G5+G6+G7+G8+G9+G10+G12+G13+G14+G11)*0.302,2)</f>
        <v>11022.67</v>
      </c>
      <c r="H15" s="11"/>
      <c r="I15" s="11">
        <f t="shared" ref="I15:Q15" si="10">ROUND((I5+I6+I7+I8+I9+I10+I12+I13+I14+I11)*0.302,2)</f>
        <v>11022.67</v>
      </c>
      <c r="J15" s="11"/>
      <c r="K15" s="11">
        <f t="shared" si="10"/>
        <v>17869.650000000001</v>
      </c>
      <c r="L15" s="11"/>
      <c r="M15" s="11">
        <f t="shared" si="10"/>
        <v>15859.95</v>
      </c>
      <c r="N15" s="11"/>
      <c r="O15" s="11">
        <f t="shared" si="10"/>
        <v>15859.95</v>
      </c>
      <c r="P15" s="11"/>
      <c r="Q15" s="11">
        <f t="shared" si="10"/>
        <v>21443.58</v>
      </c>
    </row>
    <row r="16" spans="1:17" ht="36" customHeight="1" x14ac:dyDescent="0.25">
      <c r="A16" s="4"/>
      <c r="B16" s="4"/>
      <c r="C16" s="6" t="s">
        <v>17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0" t="s">
        <v>15</v>
      </c>
      <c r="D17" s="4"/>
      <c r="E17" s="7">
        <f t="shared" ref="E17" si="11">E5+E6+E7+E8+E9+E10+E12+E13+E15+E14+E11</f>
        <v>39454.660000000003</v>
      </c>
      <c r="F17" s="7"/>
      <c r="G17" s="7">
        <f>G5+G6+G7+G8+G9+G10+G12+G13+G15+G14+G11</f>
        <v>47521.590000000004</v>
      </c>
      <c r="H17" s="7"/>
      <c r="I17" s="7">
        <f t="shared" ref="I17:Q17" si="12">I5+I6+I7+I8+I9+I10+I12+I13+I15+I14+I11</f>
        <v>47521.590000000004</v>
      </c>
      <c r="J17" s="7"/>
      <c r="K17" s="7">
        <f t="shared" si="12"/>
        <v>77040.659999999989</v>
      </c>
      <c r="L17" s="7"/>
      <c r="M17" s="7">
        <f t="shared" si="12"/>
        <v>68376.350000000006</v>
      </c>
      <c r="N17" s="7"/>
      <c r="O17" s="7">
        <f t="shared" si="12"/>
        <v>68376.350000000006</v>
      </c>
      <c r="P17" s="7"/>
      <c r="Q17" s="7">
        <f t="shared" si="12"/>
        <v>92448.8</v>
      </c>
    </row>
    <row r="18" spans="1:17" ht="24.75" customHeight="1" x14ac:dyDescent="0.25">
      <c r="A18" s="4"/>
      <c r="B18" s="4"/>
      <c r="C18" s="10" t="s">
        <v>16</v>
      </c>
      <c r="D18" s="4"/>
      <c r="E18" s="7">
        <f t="shared" ref="E18" si="13">ROUND(E17*12,2)</f>
        <v>473455.92</v>
      </c>
      <c r="F18" s="7"/>
      <c r="G18" s="7">
        <f>ROUND(G17*12,2)</f>
        <v>570259.07999999996</v>
      </c>
      <c r="H18" s="7"/>
      <c r="I18" s="7">
        <f t="shared" ref="I18:Q18" si="14">ROUND(I17*12,2)</f>
        <v>570259.07999999996</v>
      </c>
      <c r="J18" s="7"/>
      <c r="K18" s="7">
        <f t="shared" si="14"/>
        <v>924487.92</v>
      </c>
      <c r="L18" s="7"/>
      <c r="M18" s="7">
        <f t="shared" si="14"/>
        <v>820516.2</v>
      </c>
      <c r="N18" s="7"/>
      <c r="O18" s="7">
        <f t="shared" si="14"/>
        <v>820516.2</v>
      </c>
      <c r="P18" s="7"/>
      <c r="Q18" s="7">
        <f t="shared" si="14"/>
        <v>1109385.6000000001</v>
      </c>
    </row>
    <row r="19" spans="1:17" x14ac:dyDescent="0.25">
      <c r="A19" s="4"/>
      <c r="B19" s="4"/>
      <c r="C19" s="4"/>
      <c r="D19" s="4"/>
      <c r="E19" s="4"/>
      <c r="F19" s="4"/>
      <c r="G19" s="22"/>
      <c r="H19" s="4"/>
      <c r="I19" s="22"/>
      <c r="J19" s="17"/>
      <c r="K19" s="23"/>
      <c r="L19" s="17"/>
      <c r="M19" s="23"/>
      <c r="N19" s="17"/>
      <c r="O19" s="23"/>
      <c r="P19" s="17"/>
      <c r="Q19" s="23"/>
    </row>
    <row r="20" spans="1:17" ht="45" x14ac:dyDescent="0.25">
      <c r="A20" s="3">
        <v>2</v>
      </c>
      <c r="B20" s="6" t="s">
        <v>4</v>
      </c>
      <c r="C20" s="6" t="s">
        <v>37</v>
      </c>
      <c r="D20" s="3">
        <v>0.25</v>
      </c>
      <c r="E20" s="7">
        <f>ROUND(7471*D20*1.043*1.0095,2)</f>
        <v>1966.57</v>
      </c>
      <c r="F20" s="7">
        <v>0.25</v>
      </c>
      <c r="G20" s="7">
        <f>ROUND(7471*F20*1.043*1.0095,2)</f>
        <v>1966.57</v>
      </c>
      <c r="H20" s="3">
        <v>0.25</v>
      </c>
      <c r="I20" s="7">
        <f>ROUND(7471*H20*1.043*1.0095,2)</f>
        <v>1966.57</v>
      </c>
      <c r="J20" s="18">
        <v>0.25</v>
      </c>
      <c r="K20" s="7">
        <f>ROUND(7471*J20*1.043*1.0095,2)</f>
        <v>1966.57</v>
      </c>
      <c r="L20" s="18">
        <v>0.25</v>
      </c>
      <c r="M20" s="7">
        <f>ROUND(7471*L20*1.043*1.0095,2)</f>
        <v>1966.57</v>
      </c>
      <c r="N20" s="18">
        <v>0.25</v>
      </c>
      <c r="O20" s="7">
        <f>ROUND(7471*N20*1.043*1.0095,2)</f>
        <v>1966.57</v>
      </c>
      <c r="P20" s="18">
        <v>0.25</v>
      </c>
      <c r="Q20" s="7">
        <f>ROUND(7471*P20*1.043*1.0095,2)</f>
        <v>1966.57</v>
      </c>
    </row>
    <row r="21" spans="1:17" ht="45" x14ac:dyDescent="0.25">
      <c r="A21" s="4"/>
      <c r="B21" s="4"/>
      <c r="C21" s="6" t="s">
        <v>46</v>
      </c>
      <c r="D21" s="4"/>
      <c r="E21" s="7">
        <f>ROUND(E20*0.3,2)</f>
        <v>589.97</v>
      </c>
      <c r="F21" s="5"/>
      <c r="G21" s="7">
        <f>ROUND(G20*0.3,2)</f>
        <v>589.97</v>
      </c>
      <c r="H21" s="4"/>
      <c r="I21" s="7">
        <f>ROUND(I20*0.3,2)</f>
        <v>589.97</v>
      </c>
      <c r="J21" s="17"/>
      <c r="K21" s="7">
        <f>ROUND(K20*0.3,2)</f>
        <v>589.97</v>
      </c>
      <c r="L21" s="17"/>
      <c r="M21" s="15">
        <f>ROUND(M20*0.3,2)</f>
        <v>589.97</v>
      </c>
      <c r="N21" s="17"/>
      <c r="O21" s="15">
        <f>ROUND(O20*0.3,2)</f>
        <v>589.97</v>
      </c>
      <c r="P21" s="17"/>
      <c r="Q21" s="7">
        <f>ROUND(Q20*0.3,2)</f>
        <v>589.97</v>
      </c>
    </row>
    <row r="22" spans="1:17" ht="45.75" customHeight="1" x14ac:dyDescent="0.25">
      <c r="A22" s="4"/>
      <c r="B22" s="4"/>
      <c r="C22" s="6" t="s">
        <v>45</v>
      </c>
      <c r="D22" s="4"/>
      <c r="E22" s="7"/>
      <c r="F22" s="5"/>
      <c r="G22" s="7"/>
      <c r="H22" s="4"/>
      <c r="I22" s="7"/>
      <c r="J22" s="17"/>
      <c r="K22" s="7">
        <f>ROUND((K20+K21)*0.2,2)</f>
        <v>511.31</v>
      </c>
      <c r="L22" s="17"/>
      <c r="M22" s="15"/>
      <c r="N22" s="17"/>
      <c r="O22" s="15"/>
      <c r="P22" s="17"/>
      <c r="Q22" s="7">
        <f>ROUND((Q20+Q21)*0.2,2)</f>
        <v>511.31</v>
      </c>
    </row>
    <row r="23" spans="1:17" ht="60" x14ac:dyDescent="0.25">
      <c r="A23" s="4"/>
      <c r="B23" s="4"/>
      <c r="C23" s="6" t="s">
        <v>47</v>
      </c>
      <c r="D23" s="4"/>
      <c r="E23" s="7">
        <f>ROUND((E20+E21)*0.3,2)</f>
        <v>766.96</v>
      </c>
      <c r="F23" s="5"/>
      <c r="G23" s="7">
        <f>ROUND((G20+G21)*0.3,2)</f>
        <v>766.96</v>
      </c>
      <c r="H23" s="4"/>
      <c r="I23" s="7">
        <f>ROUND((I20+I21)*0.3,2)</f>
        <v>766.96</v>
      </c>
      <c r="J23" s="17"/>
      <c r="K23" s="7">
        <f>ROUND((K20+K21)*0.3,2)</f>
        <v>766.96</v>
      </c>
      <c r="L23" s="17"/>
      <c r="M23" s="15">
        <f>ROUND((M20+M21)*0.3,2)</f>
        <v>766.96</v>
      </c>
      <c r="N23" s="17"/>
      <c r="O23" s="15">
        <f>ROUND((O20+O21)*0.3,2)</f>
        <v>766.96</v>
      </c>
      <c r="P23" s="17"/>
      <c r="Q23" s="7">
        <f>ROUND((Q20+Q21)*0.3,2)</f>
        <v>766.96</v>
      </c>
    </row>
    <row r="24" spans="1:17" ht="45" x14ac:dyDescent="0.25">
      <c r="A24" s="4"/>
      <c r="B24" s="4"/>
      <c r="C24" s="6" t="s">
        <v>11</v>
      </c>
      <c r="D24" s="6"/>
      <c r="E24" s="39">
        <f>ROUND((E20+E21)*0.05,2)</f>
        <v>127.83</v>
      </c>
      <c r="F24" s="7"/>
      <c r="G24" s="7">
        <f>ROUND((G20+G21)*0.05,2)</f>
        <v>127.83</v>
      </c>
      <c r="H24" s="7"/>
      <c r="I24" s="7">
        <f>ROUND((I20+I21)*0.05,2)</f>
        <v>127.83</v>
      </c>
      <c r="J24" s="7"/>
      <c r="K24" s="7">
        <f>ROUND((K20+K21)*0.05,2)</f>
        <v>127.83</v>
      </c>
      <c r="L24" s="7"/>
      <c r="M24" s="7">
        <f>ROUND((M20+M21)*0.05,2)</f>
        <v>127.83</v>
      </c>
      <c r="N24" s="7"/>
      <c r="O24" s="7">
        <f>ROUND((O20+O21)*0.05,2)</f>
        <v>127.83</v>
      </c>
      <c r="P24" s="7"/>
      <c r="Q24" s="7">
        <f>ROUND((Q20+Q21)*0.05,2)</f>
        <v>127.83</v>
      </c>
    </row>
    <row r="25" spans="1:17" ht="45" x14ac:dyDescent="0.25">
      <c r="A25" s="4"/>
      <c r="B25" s="4"/>
      <c r="C25" s="6" t="s">
        <v>48</v>
      </c>
      <c r="D25" s="6"/>
      <c r="E25" s="39">
        <f>ROUND(E20*0.4,2)</f>
        <v>786.63</v>
      </c>
      <c r="F25" s="7"/>
      <c r="G25" s="7">
        <f>ROUND(G20*0.4,2)</f>
        <v>786.63</v>
      </c>
      <c r="H25" s="7"/>
      <c r="I25" s="7">
        <f t="shared" ref="I25:Q25" si="15">ROUND(I20*0.4,2)</f>
        <v>786.63</v>
      </c>
      <c r="J25" s="7"/>
      <c r="K25" s="7">
        <f t="shared" si="15"/>
        <v>786.63</v>
      </c>
      <c r="L25" s="7"/>
      <c r="M25" s="7">
        <f t="shared" si="15"/>
        <v>786.63</v>
      </c>
      <c r="N25" s="7"/>
      <c r="O25" s="7">
        <f t="shared" si="15"/>
        <v>786.63</v>
      </c>
      <c r="P25" s="7"/>
      <c r="Q25" s="7">
        <f t="shared" si="15"/>
        <v>786.63</v>
      </c>
    </row>
    <row r="26" spans="1:17" ht="35.25" customHeight="1" x14ac:dyDescent="0.25">
      <c r="A26" s="4"/>
      <c r="B26" s="4"/>
      <c r="C26" s="6" t="s">
        <v>61</v>
      </c>
      <c r="D26" s="6"/>
      <c r="E26" s="39">
        <f>ROUND(E20*0.2,2)</f>
        <v>393.31</v>
      </c>
      <c r="F26" s="7"/>
      <c r="G26" s="7">
        <f>ROUND(G20*0.4,2)</f>
        <v>786.63</v>
      </c>
      <c r="H26" s="7"/>
      <c r="I26" s="7">
        <f>ROUND(I20*0.4,2)</f>
        <v>786.63</v>
      </c>
      <c r="J26" s="7"/>
      <c r="K26" s="7">
        <f>ROUND(K20*0.4,2)</f>
        <v>786.63</v>
      </c>
      <c r="L26" s="7"/>
      <c r="M26" s="7">
        <f>ROUND(M20*0.4,2)</f>
        <v>786.63</v>
      </c>
      <c r="N26" s="7"/>
      <c r="O26" s="7">
        <f>ROUND(O20*0.4,2)</f>
        <v>786.63</v>
      </c>
      <c r="P26" s="7"/>
      <c r="Q26" s="7">
        <f>ROUND(Q20*0.4,2)</f>
        <v>786.63</v>
      </c>
    </row>
    <row r="27" spans="1:17" x14ac:dyDescent="0.25">
      <c r="A27" s="4"/>
      <c r="B27" s="4"/>
      <c r="C27" s="4" t="s">
        <v>12</v>
      </c>
      <c r="D27" s="4"/>
      <c r="E27" s="7">
        <f>ROUND((E20+E21+E22++E23+E24+E25+E26)*0.05,2)</f>
        <v>231.56</v>
      </c>
      <c r="F27" s="7"/>
      <c r="G27" s="7">
        <f>ROUND((G20+G21+G22++G23+G24+G25+G26)*0.05,2)</f>
        <v>251.23</v>
      </c>
      <c r="H27" s="7"/>
      <c r="I27" s="7">
        <f t="shared" ref="I27:Q27" si="16">ROUND((I20+I21+I22++I23+I24+I25+I26)*0.05,2)</f>
        <v>251.23</v>
      </c>
      <c r="J27" s="7"/>
      <c r="K27" s="7">
        <f t="shared" si="16"/>
        <v>276.8</v>
      </c>
      <c r="L27" s="7"/>
      <c r="M27" s="7">
        <f t="shared" si="16"/>
        <v>251.23</v>
      </c>
      <c r="N27" s="7"/>
      <c r="O27" s="7">
        <f t="shared" si="16"/>
        <v>251.23</v>
      </c>
      <c r="P27" s="7"/>
      <c r="Q27" s="7">
        <f t="shared" si="16"/>
        <v>276.8</v>
      </c>
    </row>
    <row r="28" spans="1:17" x14ac:dyDescent="0.25">
      <c r="A28" s="4"/>
      <c r="B28" s="4"/>
      <c r="C28" s="4" t="s">
        <v>13</v>
      </c>
      <c r="D28" s="4"/>
      <c r="E28" s="3">
        <f>ROUND((E20+E21+E22+E23+E24+E25+E26)*0.01,2)</f>
        <v>46.31</v>
      </c>
      <c r="F28" s="3"/>
      <c r="G28" s="3">
        <f>ROUND((G20+G21+G22+G23+G24+G25+G26)*0.01,2)</f>
        <v>50.25</v>
      </c>
      <c r="H28" s="3"/>
      <c r="I28" s="3">
        <f t="shared" ref="I28:Q28" si="17">ROUND((I20+I21+I22+I23+I24+I25+I26)*0.01,2)</f>
        <v>50.25</v>
      </c>
      <c r="J28" s="3"/>
      <c r="K28" s="3">
        <f t="shared" si="17"/>
        <v>55.36</v>
      </c>
      <c r="L28" s="3"/>
      <c r="M28" s="3">
        <f t="shared" si="17"/>
        <v>50.25</v>
      </c>
      <c r="N28" s="3"/>
      <c r="O28" s="3">
        <f t="shared" si="17"/>
        <v>50.25</v>
      </c>
      <c r="P28" s="3"/>
      <c r="Q28" s="3">
        <f t="shared" si="17"/>
        <v>55.36</v>
      </c>
    </row>
    <row r="29" spans="1:17" ht="30" x14ac:dyDescent="0.25">
      <c r="A29" s="4"/>
      <c r="B29" s="4"/>
      <c r="C29" s="6" t="s">
        <v>14</v>
      </c>
      <c r="D29" s="6"/>
      <c r="E29" s="39">
        <f>ROUND((E20+E21+E22+E23+E24+E25+E27+E28+E26)*0.302,2)</f>
        <v>1482.56</v>
      </c>
      <c r="F29" s="11"/>
      <c r="G29" s="11">
        <f>ROUND((G20+G21+G22+G23+G24+G25+G27+G28+G26)*0.302,2)</f>
        <v>1608.47</v>
      </c>
      <c r="H29" s="11"/>
      <c r="I29" s="11">
        <f t="shared" ref="I29:Q29" si="18">ROUND((I20+I21+I22+I23+I24+I25+I27+I28+I26)*0.302,2)</f>
        <v>1608.47</v>
      </c>
      <c r="J29" s="11"/>
      <c r="K29" s="11">
        <f t="shared" si="18"/>
        <v>1772.15</v>
      </c>
      <c r="L29" s="11"/>
      <c r="M29" s="11">
        <f t="shared" si="18"/>
        <v>1608.47</v>
      </c>
      <c r="N29" s="11"/>
      <c r="O29" s="11">
        <f t="shared" si="18"/>
        <v>1608.47</v>
      </c>
      <c r="P29" s="11"/>
      <c r="Q29" s="11">
        <f t="shared" si="18"/>
        <v>1772.15</v>
      </c>
    </row>
    <row r="30" spans="1:17" ht="52.5" customHeight="1" x14ac:dyDescent="0.25">
      <c r="A30" s="4"/>
      <c r="B30" s="4"/>
      <c r="C30" s="6" t="s">
        <v>21</v>
      </c>
      <c r="D30" s="6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0" t="s">
        <v>15</v>
      </c>
      <c r="D31" s="10"/>
      <c r="E31" s="39">
        <f>E20+E21+E22+E23+E24+E25+E27+E28+E29+E26</f>
        <v>6391.7000000000016</v>
      </c>
      <c r="F31" s="7"/>
      <c r="G31" s="7">
        <f>G20+G21+G22+G23+G24+G25+G27+G28+G29+G26</f>
        <v>6934.54</v>
      </c>
      <c r="H31" s="7"/>
      <c r="I31" s="7">
        <f t="shared" ref="I31:Q31" si="19">I20+I21+I22+I23+I24+I25+I27+I28+I29+I26</f>
        <v>6934.54</v>
      </c>
      <c r="J31" s="7"/>
      <c r="K31" s="7">
        <f t="shared" si="19"/>
        <v>7640.21</v>
      </c>
      <c r="L31" s="7"/>
      <c r="M31" s="7">
        <f t="shared" si="19"/>
        <v>6934.54</v>
      </c>
      <c r="N31" s="7"/>
      <c r="O31" s="7">
        <f t="shared" si="19"/>
        <v>6934.54</v>
      </c>
      <c r="P31" s="7"/>
      <c r="Q31" s="7">
        <f t="shared" si="19"/>
        <v>7640.21</v>
      </c>
    </row>
    <row r="32" spans="1:17" x14ac:dyDescent="0.25">
      <c r="A32" s="4"/>
      <c r="B32" s="4"/>
      <c r="C32" s="10" t="s">
        <v>16</v>
      </c>
      <c r="D32" s="10"/>
      <c r="E32" s="39">
        <f>ROUND(E31*12,2)</f>
        <v>76700.399999999994</v>
      </c>
      <c r="F32" s="5"/>
      <c r="G32" s="7">
        <f>ROUND(G31*12,2)</f>
        <v>83214.48</v>
      </c>
      <c r="H32" s="7"/>
      <c r="I32" s="7">
        <f t="shared" ref="I32:Q32" si="20">ROUND(I31*12,2)</f>
        <v>83214.48</v>
      </c>
      <c r="J32" s="7"/>
      <c r="K32" s="7">
        <f t="shared" si="20"/>
        <v>91682.52</v>
      </c>
      <c r="L32" s="7"/>
      <c r="M32" s="7">
        <f t="shared" si="20"/>
        <v>83214.48</v>
      </c>
      <c r="N32" s="7"/>
      <c r="O32" s="7">
        <f t="shared" si="20"/>
        <v>83214.48</v>
      </c>
      <c r="P32" s="7"/>
      <c r="Q32" s="7">
        <f t="shared" si="20"/>
        <v>91682.52</v>
      </c>
    </row>
    <row r="33" spans="1:17" ht="45" x14ac:dyDescent="0.25">
      <c r="A33" s="3">
        <v>3</v>
      </c>
      <c r="B33" s="6" t="s">
        <v>28</v>
      </c>
      <c r="C33" s="6" t="s">
        <v>37</v>
      </c>
      <c r="D33" s="37">
        <v>0.125</v>
      </c>
      <c r="E33" s="39">
        <f>ROUND(7471*D33*1.043*1.0095,2)</f>
        <v>983.28</v>
      </c>
      <c r="F33" s="20"/>
      <c r="G33" s="39">
        <f>ROUND(7471*F33*1.043*1.0095,2)</f>
        <v>0</v>
      </c>
      <c r="H33" s="20">
        <v>0.125</v>
      </c>
      <c r="I33" s="39">
        <f>ROUND(7471*H33*1.043*1.0095,2)</f>
        <v>983.28</v>
      </c>
      <c r="J33" s="21">
        <v>0.125</v>
      </c>
      <c r="K33" s="39">
        <f>ROUND(7471*J33*1.043*1.0095,2)</f>
        <v>983.28</v>
      </c>
      <c r="L33" s="21"/>
      <c r="M33" s="39">
        <f>ROUND(7471*L33*1.043*1.0095,2)</f>
        <v>0</v>
      </c>
      <c r="N33" s="21">
        <v>0.125</v>
      </c>
      <c r="O33" s="39">
        <f>ROUND(7471*N33*1.043*1.0095,2)</f>
        <v>983.28</v>
      </c>
      <c r="P33" s="21">
        <v>0.125</v>
      </c>
      <c r="Q33" s="39">
        <f>ROUND(7471*P33*1.043*1.0095,2)</f>
        <v>983.28</v>
      </c>
    </row>
    <row r="34" spans="1:17" ht="45" x14ac:dyDescent="0.25">
      <c r="A34" s="4"/>
      <c r="B34" s="4"/>
      <c r="C34" s="6" t="s">
        <v>46</v>
      </c>
      <c r="D34" s="6"/>
      <c r="E34" s="39">
        <f>ROUND(E33*0.3,2)</f>
        <v>294.98</v>
      </c>
      <c r="F34" s="5"/>
      <c r="G34" s="7">
        <f>ROUND(G33*0.3,2)</f>
        <v>0</v>
      </c>
      <c r="H34" s="4"/>
      <c r="I34" s="7">
        <f>ROUND(I33*0.3,2)</f>
        <v>294.98</v>
      </c>
      <c r="J34" s="17"/>
      <c r="K34" s="7">
        <f>ROUND(K33*0.3,2)</f>
        <v>294.98</v>
      </c>
      <c r="L34" s="17"/>
      <c r="M34" s="15">
        <f>ROUND(M33*0.3,2)</f>
        <v>0</v>
      </c>
      <c r="N34" s="17"/>
      <c r="O34" s="15">
        <f>ROUND(O33*0.3,2)</f>
        <v>294.98</v>
      </c>
      <c r="P34" s="17"/>
      <c r="Q34" s="7">
        <f>ROUND(Q33*0.3,2)</f>
        <v>294.98</v>
      </c>
    </row>
    <row r="35" spans="1:17" ht="45" x14ac:dyDescent="0.25">
      <c r="A35" s="4"/>
      <c r="B35" s="4"/>
      <c r="C35" s="6" t="s">
        <v>45</v>
      </c>
      <c r="D35" s="6"/>
      <c r="E35" s="39"/>
      <c r="F35" s="5"/>
      <c r="G35" s="7"/>
      <c r="H35" s="4"/>
      <c r="I35" s="7"/>
      <c r="J35" s="17"/>
      <c r="K35" s="7">
        <f>ROUND((K33+K34)*0.2,2)</f>
        <v>255.65</v>
      </c>
      <c r="L35" s="17"/>
      <c r="M35" s="15"/>
      <c r="N35" s="17"/>
      <c r="O35" s="15"/>
      <c r="P35" s="17"/>
      <c r="Q35" s="7">
        <f>ROUND((Q33+Q34)*0.2,2)</f>
        <v>255.65</v>
      </c>
    </row>
    <row r="36" spans="1:17" ht="60" x14ac:dyDescent="0.25">
      <c r="A36" s="4"/>
      <c r="B36" s="4"/>
      <c r="C36" s="6" t="s">
        <v>47</v>
      </c>
      <c r="D36" s="6"/>
      <c r="E36" s="39">
        <f>ROUND((E33+E34)*0.3,2)</f>
        <v>383.48</v>
      </c>
      <c r="F36" s="5"/>
      <c r="G36" s="7">
        <f>ROUND((G33+G34)*0.3,2)</f>
        <v>0</v>
      </c>
      <c r="H36" s="4"/>
      <c r="I36" s="7">
        <f>ROUND((I33+I34)*0.3,2)</f>
        <v>383.48</v>
      </c>
      <c r="J36" s="17"/>
      <c r="K36" s="7">
        <f>ROUND((K33+K34)*0.3,2)</f>
        <v>383.48</v>
      </c>
      <c r="L36" s="17"/>
      <c r="M36" s="15">
        <f>ROUND((M33+M34)*0.3,2)</f>
        <v>0</v>
      </c>
      <c r="N36" s="17"/>
      <c r="O36" s="15">
        <f>ROUND((O33+O34)*0.3,2)</f>
        <v>383.48</v>
      </c>
      <c r="P36" s="17"/>
      <c r="Q36" s="7">
        <f>ROUND((Q33+Q34)*0.3,2)</f>
        <v>383.48</v>
      </c>
    </row>
    <row r="37" spans="1:17" ht="45" x14ac:dyDescent="0.25">
      <c r="A37" s="4"/>
      <c r="B37" s="4"/>
      <c r="C37" s="6" t="s">
        <v>11</v>
      </c>
      <c r="D37" s="6"/>
      <c r="E37" s="39">
        <f>ROUND((E33+E34)*0.05,2)</f>
        <v>63.91</v>
      </c>
      <c r="F37" s="7"/>
      <c r="G37" s="7">
        <f>ROUND((G33+G34)*0.05,2)</f>
        <v>0</v>
      </c>
      <c r="H37" s="7"/>
      <c r="I37" s="7">
        <f>ROUND((I33+I34)*0.05,2)</f>
        <v>63.91</v>
      </c>
      <c r="J37" s="7"/>
      <c r="K37" s="7">
        <f>ROUND((K33+K34)*0.05,2)</f>
        <v>63.91</v>
      </c>
      <c r="L37" s="7"/>
      <c r="M37" s="7">
        <f>ROUND((M33+M34)*0.05,2)</f>
        <v>0</v>
      </c>
      <c r="N37" s="7"/>
      <c r="O37" s="7">
        <f>ROUND((O33+O34)*0.05,2)</f>
        <v>63.91</v>
      </c>
      <c r="P37" s="7"/>
      <c r="Q37" s="7">
        <f>ROUND((Q33+Q34)*0.05,2)</f>
        <v>63.91</v>
      </c>
    </row>
    <row r="38" spans="1:17" ht="45" x14ac:dyDescent="0.25">
      <c r="A38" s="4"/>
      <c r="B38" s="4"/>
      <c r="C38" s="6" t="s">
        <v>48</v>
      </c>
      <c r="D38" s="6"/>
      <c r="E38" s="39">
        <f>ROUND(E33*0.4,2)</f>
        <v>393.31</v>
      </c>
      <c r="F38" s="7"/>
      <c r="G38" s="7">
        <f>ROUND(G33*0.4,2)</f>
        <v>0</v>
      </c>
      <c r="H38" s="7"/>
      <c r="I38" s="7">
        <f t="shared" ref="I38:Q38" si="21">ROUND(I33*0.4,2)</f>
        <v>393.31</v>
      </c>
      <c r="J38" s="7"/>
      <c r="K38" s="7">
        <f t="shared" si="21"/>
        <v>393.31</v>
      </c>
      <c r="L38" s="7"/>
      <c r="M38" s="7">
        <f t="shared" si="21"/>
        <v>0</v>
      </c>
      <c r="N38" s="7"/>
      <c r="O38" s="7">
        <f t="shared" si="21"/>
        <v>393.31</v>
      </c>
      <c r="P38" s="7"/>
      <c r="Q38" s="7">
        <f t="shared" si="21"/>
        <v>393.31</v>
      </c>
    </row>
    <row r="39" spans="1:17" ht="36.75" customHeight="1" x14ac:dyDescent="0.25">
      <c r="A39" s="4"/>
      <c r="B39" s="4"/>
      <c r="C39" s="6" t="s">
        <v>61</v>
      </c>
      <c r="D39" s="6"/>
      <c r="E39" s="39">
        <f>ROUND(E33*0.2,2)</f>
        <v>196.66</v>
      </c>
      <c r="F39" s="7"/>
      <c r="G39" s="7">
        <f>ROUND(G33*0.4,2)</f>
        <v>0</v>
      </c>
      <c r="H39" s="7"/>
      <c r="I39" s="7">
        <f>ROUND(I33*0.4,2)</f>
        <v>393.31</v>
      </c>
      <c r="J39" s="7"/>
      <c r="K39" s="7">
        <f>ROUND(K33*0.4,2)</f>
        <v>393.31</v>
      </c>
      <c r="L39" s="7"/>
      <c r="M39" s="7">
        <f>ROUND(M33*0.4,2)</f>
        <v>0</v>
      </c>
      <c r="N39" s="7"/>
      <c r="O39" s="7">
        <f>ROUND(O33*0.4,2)</f>
        <v>393.31</v>
      </c>
      <c r="P39" s="7"/>
      <c r="Q39" s="7">
        <f>ROUND(Q33*0.4,2)</f>
        <v>393.31</v>
      </c>
    </row>
    <row r="40" spans="1:17" ht="26.25" customHeight="1" x14ac:dyDescent="0.25">
      <c r="A40" s="4"/>
      <c r="B40" s="4"/>
      <c r="C40" s="4" t="s">
        <v>12</v>
      </c>
      <c r="D40" s="4"/>
      <c r="E40" s="7">
        <f>ROUND((E33+E34+E35+E36+E37+E38+E39)*0.05,2)</f>
        <v>115.78</v>
      </c>
      <c r="F40" s="7"/>
      <c r="G40" s="7">
        <f>ROUND((G33+G34+G35+G36+G37+G38+G39)*0.05,2)</f>
        <v>0</v>
      </c>
      <c r="H40" s="7"/>
      <c r="I40" s="7">
        <f t="shared" ref="I40:Q40" si="22">ROUND((I33+I34+I35+I36+I37+I38+I39)*0.05,2)</f>
        <v>125.61</v>
      </c>
      <c r="J40" s="7"/>
      <c r="K40" s="7">
        <f t="shared" si="22"/>
        <v>138.4</v>
      </c>
      <c r="L40" s="7"/>
      <c r="M40" s="7">
        <f t="shared" si="22"/>
        <v>0</v>
      </c>
      <c r="N40" s="7"/>
      <c r="O40" s="7">
        <f t="shared" si="22"/>
        <v>125.61</v>
      </c>
      <c r="P40" s="7"/>
      <c r="Q40" s="7">
        <f t="shared" si="22"/>
        <v>138.4</v>
      </c>
    </row>
    <row r="41" spans="1:17" x14ac:dyDescent="0.25">
      <c r="A41" s="4"/>
      <c r="B41" s="4"/>
      <c r="C41" s="4" t="s">
        <v>13</v>
      </c>
      <c r="D41" s="4"/>
      <c r="E41" s="3">
        <f>ROUND((E33+E34+E35+E36+E37+E38+E39)*0.01,2)</f>
        <v>23.16</v>
      </c>
      <c r="F41" s="3"/>
      <c r="G41" s="3">
        <f>ROUND((G33+G34+G35+G36+G37+G38+G39)*0.01,2)</f>
        <v>0</v>
      </c>
      <c r="H41" s="3"/>
      <c r="I41" s="3">
        <f t="shared" ref="I41:Q41" si="23">ROUND((I33+I34+I35+I36+I37+I38+I39)*0.01,2)</f>
        <v>25.12</v>
      </c>
      <c r="J41" s="3"/>
      <c r="K41" s="3">
        <f t="shared" si="23"/>
        <v>27.68</v>
      </c>
      <c r="L41" s="3"/>
      <c r="M41" s="3">
        <f t="shared" si="23"/>
        <v>0</v>
      </c>
      <c r="N41" s="3"/>
      <c r="O41" s="3">
        <f t="shared" si="23"/>
        <v>25.12</v>
      </c>
      <c r="P41" s="3"/>
      <c r="Q41" s="3">
        <f t="shared" si="23"/>
        <v>27.68</v>
      </c>
    </row>
    <row r="42" spans="1:17" ht="30" x14ac:dyDescent="0.25">
      <c r="A42" s="4"/>
      <c r="B42" s="4"/>
      <c r="C42" s="6" t="s">
        <v>14</v>
      </c>
      <c r="D42" s="6"/>
      <c r="E42" s="39">
        <f>ROUND((E33+E34+E35+E36+E37+E38+E40+E41+E39)*0.302,2)</f>
        <v>741.28</v>
      </c>
      <c r="F42" s="11"/>
      <c r="G42" s="11">
        <f>ROUND((G33+G34+G35+G36+G37+G38+G40+G41+G39)*0.302,2)</f>
        <v>0</v>
      </c>
      <c r="H42" s="11"/>
      <c r="I42" s="11">
        <f t="shared" ref="I42:Q42" si="24">ROUND((I33+I34+I35+I36+I37+I38+I40+I41+I39)*0.302,2)</f>
        <v>804.23</v>
      </c>
      <c r="J42" s="11"/>
      <c r="K42" s="11">
        <f t="shared" si="24"/>
        <v>886.07</v>
      </c>
      <c r="L42" s="11"/>
      <c r="M42" s="11">
        <f t="shared" si="24"/>
        <v>0</v>
      </c>
      <c r="N42" s="11"/>
      <c r="O42" s="11">
        <f t="shared" si="24"/>
        <v>804.23</v>
      </c>
      <c r="P42" s="11"/>
      <c r="Q42" s="11">
        <f t="shared" si="24"/>
        <v>886.07</v>
      </c>
    </row>
    <row r="43" spans="1:17" ht="55.5" customHeight="1" x14ac:dyDescent="0.25">
      <c r="A43" s="4"/>
      <c r="B43" s="4"/>
      <c r="C43" s="6" t="s">
        <v>22</v>
      </c>
      <c r="D43" s="6"/>
      <c r="E43" s="3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0" t="s">
        <v>15</v>
      </c>
      <c r="D44" s="10"/>
      <c r="E44" s="39">
        <f>E33+E34+E35+E36+E37+E38+E40+E41+E42+E39</f>
        <v>3195.84</v>
      </c>
      <c r="F44" s="7"/>
      <c r="G44" s="7">
        <f>G33+G34+G35+G36+G37+G38+G40+G41+G42+G39</f>
        <v>0</v>
      </c>
      <c r="H44" s="7"/>
      <c r="I44" s="7">
        <f t="shared" ref="I44:Q44" si="25">I33+I34+I35+I36+I37+I38+I40+I41+I42+I39</f>
        <v>3467.23</v>
      </c>
      <c r="J44" s="7"/>
      <c r="K44" s="7">
        <f t="shared" si="25"/>
        <v>3820.07</v>
      </c>
      <c r="L44" s="7"/>
      <c r="M44" s="7">
        <f t="shared" si="25"/>
        <v>0</v>
      </c>
      <c r="N44" s="7"/>
      <c r="O44" s="7">
        <f t="shared" si="25"/>
        <v>3467.23</v>
      </c>
      <c r="P44" s="7"/>
      <c r="Q44" s="7">
        <f t="shared" si="25"/>
        <v>3820.07</v>
      </c>
    </row>
    <row r="45" spans="1:17" x14ac:dyDescent="0.25">
      <c r="A45" s="4"/>
      <c r="B45" s="4"/>
      <c r="C45" s="10" t="s">
        <v>16</v>
      </c>
      <c r="D45" s="10"/>
      <c r="E45" s="39">
        <f>ROUND(E44*12,2)</f>
        <v>38350.080000000002</v>
      </c>
      <c r="F45" s="5"/>
      <c r="G45" s="7">
        <f>ROUND(G44*12,2)</f>
        <v>0</v>
      </c>
      <c r="H45" s="7"/>
      <c r="I45" s="7">
        <f t="shared" ref="I45:Q45" si="26">ROUND(I44*12,2)</f>
        <v>41606.76</v>
      </c>
      <c r="J45" s="7"/>
      <c r="K45" s="7">
        <f t="shared" si="26"/>
        <v>45840.84</v>
      </c>
      <c r="L45" s="7"/>
      <c r="M45" s="7">
        <f t="shared" si="26"/>
        <v>0</v>
      </c>
      <c r="N45" s="7"/>
      <c r="O45" s="7">
        <f t="shared" si="26"/>
        <v>41606.76</v>
      </c>
      <c r="P45" s="7"/>
      <c r="Q45" s="7">
        <f t="shared" si="26"/>
        <v>45840.84</v>
      </c>
    </row>
    <row r="46" spans="1:17" ht="65.25" customHeight="1" x14ac:dyDescent="0.25">
      <c r="A46" s="3">
        <v>4</v>
      </c>
      <c r="B46" s="6" t="s">
        <v>18</v>
      </c>
      <c r="C46" s="6" t="s">
        <v>37</v>
      </c>
      <c r="D46" s="6"/>
      <c r="E46" s="39"/>
      <c r="F46" s="5"/>
      <c r="G46" s="7"/>
      <c r="H46" s="3"/>
      <c r="I46" s="7"/>
      <c r="J46" s="3">
        <v>1</v>
      </c>
      <c r="K46" s="39">
        <f>ROUND(8621*J46*1.043*1.0095,2)</f>
        <v>9077.1200000000008</v>
      </c>
      <c r="L46" s="17"/>
      <c r="M46" s="15"/>
      <c r="N46" s="17"/>
      <c r="O46" s="15"/>
      <c r="P46" s="3">
        <v>1</v>
      </c>
      <c r="Q46" s="39">
        <f>ROUND(8621*P46*1.043*1.0095,2)</f>
        <v>9077.1200000000008</v>
      </c>
    </row>
    <row r="47" spans="1:17" ht="45" x14ac:dyDescent="0.25">
      <c r="A47" s="4"/>
      <c r="B47" s="4"/>
      <c r="C47" s="6" t="s">
        <v>46</v>
      </c>
      <c r="D47" s="6"/>
      <c r="E47" s="39"/>
      <c r="F47" s="5"/>
      <c r="G47" s="7"/>
      <c r="H47" s="4"/>
      <c r="I47" s="7"/>
      <c r="J47" s="4"/>
      <c r="K47" s="7">
        <f>ROUND(K46*0.3,2)</f>
        <v>2723.14</v>
      </c>
      <c r="L47" s="17"/>
      <c r="M47" s="15"/>
      <c r="N47" s="17"/>
      <c r="O47" s="15"/>
      <c r="P47" s="4"/>
      <c r="Q47" s="7">
        <f>ROUND(Q46*0.3,2)</f>
        <v>2723.14</v>
      </c>
    </row>
    <row r="48" spans="1:17" ht="41.25" customHeight="1" x14ac:dyDescent="0.25">
      <c r="A48" s="4"/>
      <c r="B48" s="4"/>
      <c r="C48" s="6" t="s">
        <v>45</v>
      </c>
      <c r="D48" s="6"/>
      <c r="E48" s="39"/>
      <c r="F48" s="5"/>
      <c r="G48" s="7"/>
      <c r="H48" s="4"/>
      <c r="I48" s="7"/>
      <c r="J48" s="4"/>
      <c r="K48" s="7">
        <f>ROUND((K46+K47)*0.2,2)</f>
        <v>2360.0500000000002</v>
      </c>
      <c r="L48" s="17"/>
      <c r="M48" s="15"/>
      <c r="N48" s="17"/>
      <c r="O48" s="15"/>
      <c r="P48" s="4"/>
      <c r="Q48" s="7">
        <f>ROUND((Q46+Q47)*0.2,2)</f>
        <v>2360.0500000000002</v>
      </c>
    </row>
    <row r="49" spans="1:17" ht="60" x14ac:dyDescent="0.25">
      <c r="A49" s="4"/>
      <c r="B49" s="4"/>
      <c r="C49" s="6" t="s">
        <v>47</v>
      </c>
      <c r="D49" s="6"/>
      <c r="E49" s="39"/>
      <c r="F49" s="5"/>
      <c r="G49" s="7"/>
      <c r="H49" s="4"/>
      <c r="I49" s="7"/>
      <c r="J49" s="4"/>
      <c r="K49" s="7">
        <f>ROUND((K46+K47)*0.3,2)</f>
        <v>3540.08</v>
      </c>
      <c r="L49" s="17"/>
      <c r="M49" s="15"/>
      <c r="N49" s="17"/>
      <c r="O49" s="15"/>
      <c r="P49" s="4"/>
      <c r="Q49" s="7">
        <f>ROUND((Q46+Q47)*0.3,2)</f>
        <v>3540.08</v>
      </c>
    </row>
    <row r="50" spans="1:17" ht="45" x14ac:dyDescent="0.25">
      <c r="A50" s="4"/>
      <c r="B50" s="4"/>
      <c r="C50" s="6" t="s">
        <v>11</v>
      </c>
      <c r="D50" s="6"/>
      <c r="E50" s="39"/>
      <c r="F50" s="5"/>
      <c r="G50" s="7"/>
      <c r="H50" s="4"/>
      <c r="I50" s="7"/>
      <c r="J50" s="4"/>
      <c r="K50" s="7">
        <f>ROUND((K46+K47)*0.05,2)</f>
        <v>590.01</v>
      </c>
      <c r="L50" s="17"/>
      <c r="M50" s="15"/>
      <c r="N50" s="17"/>
      <c r="O50" s="15"/>
      <c r="P50" s="4"/>
      <c r="Q50" s="7">
        <f>ROUND((Q46+Q47)*0.05,2)</f>
        <v>590.01</v>
      </c>
    </row>
    <row r="51" spans="1:17" ht="45" x14ac:dyDescent="0.25">
      <c r="A51" s="4"/>
      <c r="B51" s="4"/>
      <c r="C51" s="6" t="s">
        <v>48</v>
      </c>
      <c r="D51" s="6"/>
      <c r="E51" s="39"/>
      <c r="F51" s="5"/>
      <c r="G51" s="7"/>
      <c r="H51" s="4"/>
      <c r="I51" s="7"/>
      <c r="J51" s="4"/>
      <c r="K51" s="7">
        <f>ROUND(K46*0.4,2)</f>
        <v>3630.85</v>
      </c>
      <c r="L51" s="17"/>
      <c r="M51" s="15"/>
      <c r="N51" s="17"/>
      <c r="O51" s="15"/>
      <c r="P51" s="4"/>
      <c r="Q51" s="7">
        <f>ROUND(Q46*0.4,2)</f>
        <v>3630.85</v>
      </c>
    </row>
    <row r="52" spans="1:17" ht="39.75" customHeight="1" x14ac:dyDescent="0.25">
      <c r="A52" s="4"/>
      <c r="B52" s="4"/>
      <c r="C52" s="6" t="s">
        <v>61</v>
      </c>
      <c r="D52" s="6"/>
      <c r="E52" s="39"/>
      <c r="F52" s="5"/>
      <c r="G52" s="7"/>
      <c r="H52" s="4"/>
      <c r="I52" s="7"/>
      <c r="J52" s="4"/>
      <c r="K52" s="7">
        <f>ROUND(K46*0.4,2)</f>
        <v>3630.85</v>
      </c>
      <c r="L52" s="17"/>
      <c r="M52" s="15"/>
      <c r="N52" s="17"/>
      <c r="O52" s="15"/>
      <c r="P52" s="4"/>
      <c r="Q52" s="7">
        <f>ROUND(Q46*0.4,2)</f>
        <v>3630.85</v>
      </c>
    </row>
    <row r="53" spans="1:17" x14ac:dyDescent="0.25">
      <c r="A53" s="4"/>
      <c r="B53" s="4"/>
      <c r="C53" s="4" t="s">
        <v>12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1277.6099999999999</v>
      </c>
      <c r="L53" s="17"/>
      <c r="M53" s="15"/>
      <c r="N53" s="17"/>
      <c r="O53" s="15"/>
      <c r="P53" s="4"/>
      <c r="Q53" s="7">
        <f>ROUND((Q46+Q47+Q48+Q49+Q50+Q51+Q52)*0.05,2)</f>
        <v>1277.6099999999999</v>
      </c>
    </row>
    <row r="54" spans="1:17" ht="24.75" customHeight="1" x14ac:dyDescent="0.25">
      <c r="A54" s="4"/>
      <c r="B54" s="4"/>
      <c r="C54" s="4" t="s">
        <v>13</v>
      </c>
      <c r="D54" s="4"/>
      <c r="E54" s="7"/>
      <c r="F54" s="5"/>
      <c r="G54" s="7"/>
      <c r="H54" s="4"/>
      <c r="I54" s="12"/>
      <c r="J54" s="4"/>
      <c r="K54" s="24">
        <f>ROUND((K46+K47+K48+K49+K50+K51+K52)*0.01,2)</f>
        <v>255.52</v>
      </c>
      <c r="L54" s="17"/>
      <c r="M54" s="15"/>
      <c r="N54" s="17"/>
      <c r="O54" s="15"/>
      <c r="P54" s="4"/>
      <c r="Q54" s="24">
        <f>ROUND((Q46+Q47+Q48+Q49+Q50+Q51+Q52)*0.01,2)</f>
        <v>255.52</v>
      </c>
    </row>
    <row r="55" spans="1:17" ht="30" x14ac:dyDescent="0.25">
      <c r="A55" s="4"/>
      <c r="B55" s="4"/>
      <c r="C55" s="6" t="s">
        <v>14</v>
      </c>
      <c r="D55" s="6"/>
      <c r="E55" s="39"/>
      <c r="F55" s="5"/>
      <c r="G55" s="7"/>
      <c r="H55" s="4"/>
      <c r="I55" s="11"/>
      <c r="J55" s="4"/>
      <c r="K55" s="11">
        <f>ROUND((K46+K47+K48+K49+K50+K51+K53+K54+K52)*0.302,2)</f>
        <v>8179.74</v>
      </c>
      <c r="L55" s="17"/>
      <c r="M55" s="15"/>
      <c r="N55" s="17"/>
      <c r="O55" s="15"/>
      <c r="P55" s="4"/>
      <c r="Q55" s="11">
        <f>ROUND((Q46+Q47+Q48+Q49+Q50+Q51+Q53+Q54+Q52)*0.302,2)</f>
        <v>8179.74</v>
      </c>
    </row>
    <row r="56" spans="1:17" ht="45" x14ac:dyDescent="0.25">
      <c r="A56" s="4"/>
      <c r="B56" s="4"/>
      <c r="C56" s="6" t="s">
        <v>23</v>
      </c>
      <c r="D56" s="6"/>
      <c r="E56" s="39"/>
      <c r="F56" s="5"/>
      <c r="G56" s="7"/>
      <c r="H56" s="4"/>
      <c r="I56" s="7"/>
      <c r="J56" s="4"/>
      <c r="K56" s="7"/>
      <c r="L56" s="17"/>
      <c r="M56" s="15"/>
      <c r="N56" s="17"/>
      <c r="O56" s="15"/>
      <c r="P56" s="4"/>
      <c r="Q56" s="7"/>
    </row>
    <row r="57" spans="1:17" x14ac:dyDescent="0.25">
      <c r="A57" s="4"/>
      <c r="B57" s="4"/>
      <c r="C57" s="10" t="s">
        <v>15</v>
      </c>
      <c r="D57" s="10"/>
      <c r="E57" s="39"/>
      <c r="F57" s="5"/>
      <c r="G57" s="7"/>
      <c r="H57" s="4"/>
      <c r="I57" s="7"/>
      <c r="J57" s="4"/>
      <c r="K57" s="7">
        <f>K46+K47+K48+K49+K50+K51+K53+K54+K55+K52</f>
        <v>35264.969999999994</v>
      </c>
      <c r="L57" s="17"/>
      <c r="M57" s="15"/>
      <c r="N57" s="17"/>
      <c r="O57" s="15"/>
      <c r="P57" s="4"/>
      <c r="Q57" s="7">
        <f>Q46+Q47+Q48+Q49+Q50+Q51+Q53+Q54+Q55+Q52</f>
        <v>35264.969999999994</v>
      </c>
    </row>
    <row r="58" spans="1:17" x14ac:dyDescent="0.25">
      <c r="A58" s="4"/>
      <c r="B58" s="4"/>
      <c r="C58" s="10" t="s">
        <v>16</v>
      </c>
      <c r="D58" s="10"/>
      <c r="E58" s="39"/>
      <c r="F58" s="5"/>
      <c r="G58" s="7"/>
      <c r="H58" s="4"/>
      <c r="I58" s="7"/>
      <c r="J58" s="4"/>
      <c r="K58" s="7">
        <f>ROUND(K57*12,2)</f>
        <v>423179.64</v>
      </c>
      <c r="L58" s="17"/>
      <c r="M58" s="15"/>
      <c r="N58" s="17"/>
      <c r="O58" s="15"/>
      <c r="P58" s="4"/>
      <c r="Q58" s="7">
        <f>ROUND(Q57*12,2)</f>
        <v>423179.64</v>
      </c>
    </row>
    <row r="59" spans="1:17" ht="30" x14ac:dyDescent="0.25">
      <c r="A59" s="3">
        <v>5</v>
      </c>
      <c r="B59" s="6" t="s">
        <v>20</v>
      </c>
      <c r="C59" s="6" t="s">
        <v>10</v>
      </c>
      <c r="D59" s="37">
        <v>8.3000000000000004E-2</v>
      </c>
      <c r="E59" s="39">
        <f>ROUND(8216*1.043*1.0095*D59,2)</f>
        <v>718.01</v>
      </c>
      <c r="F59" s="20">
        <v>8.3000000000000004E-2</v>
      </c>
      <c r="G59" s="39">
        <f>ROUND(8216*1.043*1.0095*F59,2)</f>
        <v>718.01</v>
      </c>
      <c r="H59" s="20">
        <v>8.3000000000000004E-2</v>
      </c>
      <c r="I59" s="39">
        <f>ROUND(8216*1.043*1.0095*H59,2)</f>
        <v>718.01</v>
      </c>
      <c r="J59" s="20">
        <v>8.3000000000000004E-2</v>
      </c>
      <c r="K59" s="39">
        <f>ROUND(8216*1.043*1.0095*J59,2)</f>
        <v>718.01</v>
      </c>
      <c r="L59" s="20">
        <v>8.3000000000000004E-2</v>
      </c>
      <c r="M59" s="39">
        <f>ROUND(8216*1.043*1.0095*L59,2)</f>
        <v>718.01</v>
      </c>
      <c r="N59" s="21">
        <v>8.3000000000000004E-2</v>
      </c>
      <c r="O59" s="39">
        <f>ROUND(8216*1.043*1.0095*N59,2)</f>
        <v>718.01</v>
      </c>
      <c r="P59" s="20">
        <v>8.3000000000000004E-2</v>
      </c>
      <c r="Q59" s="39">
        <f>ROUND(8216*1.043*1.0095*P59,2)</f>
        <v>718.01</v>
      </c>
    </row>
    <row r="60" spans="1:17" ht="45" x14ac:dyDescent="0.25">
      <c r="A60" s="4"/>
      <c r="B60" s="4"/>
      <c r="C60" s="6" t="s">
        <v>50</v>
      </c>
      <c r="D60" s="6"/>
      <c r="E60" s="39">
        <f>ROUND(E59*0.3,2)</f>
        <v>215.4</v>
      </c>
      <c r="F60" s="5"/>
      <c r="G60" s="7">
        <f>ROUND(G59*0.3,2)</f>
        <v>215.4</v>
      </c>
      <c r="H60" s="4"/>
      <c r="I60" s="7">
        <f>ROUND(I59*0.3,2)</f>
        <v>215.4</v>
      </c>
      <c r="J60" s="17"/>
      <c r="K60" s="7">
        <f>ROUND(K59*0.3,2)</f>
        <v>215.4</v>
      </c>
      <c r="L60" s="17"/>
      <c r="M60" s="15">
        <f>ROUND(M59*0.3,2)</f>
        <v>215.4</v>
      </c>
      <c r="N60" s="17"/>
      <c r="O60" s="15">
        <f>ROUND(O59*0.3,2)</f>
        <v>215.4</v>
      </c>
      <c r="P60" s="17"/>
      <c r="Q60" s="7">
        <f>ROUND(Q59*0.3,2)</f>
        <v>215.4</v>
      </c>
    </row>
    <row r="61" spans="1:17" ht="45" x14ac:dyDescent="0.25">
      <c r="A61" s="4"/>
      <c r="B61" s="4"/>
      <c r="C61" s="6" t="s">
        <v>51</v>
      </c>
      <c r="D61" s="6"/>
      <c r="E61" s="39"/>
      <c r="F61" s="5"/>
      <c r="G61" s="7"/>
      <c r="H61" s="4"/>
      <c r="I61" s="7"/>
      <c r="J61" s="17"/>
      <c r="K61" s="7">
        <f>ROUND((K59+K60)*0.2,2)</f>
        <v>186.68</v>
      </c>
      <c r="L61" s="17"/>
      <c r="M61" s="15"/>
      <c r="N61" s="17"/>
      <c r="O61" s="15"/>
      <c r="P61" s="17"/>
      <c r="Q61" s="7">
        <f>ROUND((Q59+Q60)*0.2,2)</f>
        <v>186.68</v>
      </c>
    </row>
    <row r="62" spans="1:17" ht="60" x14ac:dyDescent="0.25">
      <c r="A62" s="4"/>
      <c r="B62" s="4"/>
      <c r="C62" s="6" t="s">
        <v>55</v>
      </c>
      <c r="D62" s="6"/>
      <c r="E62" s="39">
        <f>ROUND((E59+E60)*0.3,2)</f>
        <v>280.02</v>
      </c>
      <c r="F62" s="5"/>
      <c r="G62" s="7">
        <f>ROUND((G59+G60)*0.3,2)</f>
        <v>280.02</v>
      </c>
      <c r="H62" s="4"/>
      <c r="I62" s="7">
        <f>ROUND((I59+I60)*0.3,2)</f>
        <v>280.02</v>
      </c>
      <c r="J62" s="17"/>
      <c r="K62" s="7">
        <f>ROUND((K59+K60)*0.3,2)</f>
        <v>280.02</v>
      </c>
      <c r="L62" s="17"/>
      <c r="M62" s="15">
        <f>ROUND((M59+M60)*0.3,2)</f>
        <v>280.02</v>
      </c>
      <c r="N62" s="17"/>
      <c r="O62" s="15">
        <f>ROUND((O59+O60)*0.3,2)</f>
        <v>280.02</v>
      </c>
      <c r="P62" s="17"/>
      <c r="Q62" s="7">
        <f>ROUND((Q59+Q60)*0.3,2)</f>
        <v>280.02</v>
      </c>
    </row>
    <row r="63" spans="1:17" ht="45" x14ac:dyDescent="0.25">
      <c r="A63" s="4"/>
      <c r="B63" s="4"/>
      <c r="C63" s="6" t="s">
        <v>11</v>
      </c>
      <c r="D63" s="6"/>
      <c r="E63" s="39">
        <f>ROUND((E59+E60)*0.05,2)</f>
        <v>46.67</v>
      </c>
      <c r="F63" s="7"/>
      <c r="G63" s="7">
        <f>ROUND((G59+G60)*0.05,2)</f>
        <v>46.67</v>
      </c>
      <c r="H63" s="7"/>
      <c r="I63" s="7">
        <f>ROUND((I59+I60)*0.05,2)</f>
        <v>46.67</v>
      </c>
      <c r="J63" s="7"/>
      <c r="K63" s="7">
        <f>ROUND((K59+K60)*0.05,2)</f>
        <v>46.67</v>
      </c>
      <c r="L63" s="7"/>
      <c r="M63" s="7">
        <f>ROUND((M59+M60)*0.05,2)</f>
        <v>46.67</v>
      </c>
      <c r="N63" s="7"/>
      <c r="O63" s="7">
        <f>ROUND((O59+O60)*0.05,2)</f>
        <v>46.67</v>
      </c>
      <c r="P63" s="7"/>
      <c r="Q63" s="7">
        <f>ROUND((Q59+Q60)*0.05,2)</f>
        <v>46.67</v>
      </c>
    </row>
    <row r="64" spans="1:17" ht="45" x14ac:dyDescent="0.25">
      <c r="A64" s="4"/>
      <c r="B64" s="4"/>
      <c r="C64" s="6" t="s">
        <v>52</v>
      </c>
      <c r="D64" s="6"/>
      <c r="E64" s="39">
        <f>ROUND(E59*0.4,2)</f>
        <v>287.2</v>
      </c>
      <c r="F64" s="7"/>
      <c r="G64" s="7">
        <f>ROUND(G59*0.4,2)</f>
        <v>287.2</v>
      </c>
      <c r="H64" s="7"/>
      <c r="I64" s="7">
        <f t="shared" ref="I64:Q64" si="27">ROUND(I59*0.4,2)</f>
        <v>287.2</v>
      </c>
      <c r="J64" s="7"/>
      <c r="K64" s="7">
        <f t="shared" si="27"/>
        <v>287.2</v>
      </c>
      <c r="L64" s="7"/>
      <c r="M64" s="7">
        <f t="shared" si="27"/>
        <v>287.2</v>
      </c>
      <c r="N64" s="7"/>
      <c r="O64" s="7">
        <f t="shared" si="27"/>
        <v>287.2</v>
      </c>
      <c r="P64" s="7"/>
      <c r="Q64" s="7">
        <f t="shared" si="27"/>
        <v>287.2</v>
      </c>
    </row>
    <row r="65" spans="1:17" ht="52.5" customHeight="1" x14ac:dyDescent="0.25">
      <c r="A65" s="4"/>
      <c r="B65" s="4"/>
      <c r="C65" s="6" t="s">
        <v>62</v>
      </c>
      <c r="D65" s="6"/>
      <c r="E65" s="39">
        <f>ROUND(E59*0.2,2)</f>
        <v>143.6</v>
      </c>
      <c r="F65" s="7"/>
      <c r="G65" s="7">
        <f>ROUND(G59*0.4,2)</f>
        <v>287.2</v>
      </c>
      <c r="H65" s="7"/>
      <c r="I65" s="7">
        <f>ROUND(I59*0.4,2)</f>
        <v>287.2</v>
      </c>
      <c r="J65" s="7"/>
      <c r="K65" s="7">
        <f>ROUND(K59*0.4,2)</f>
        <v>287.2</v>
      </c>
      <c r="L65" s="7"/>
      <c r="M65" s="7">
        <f>ROUND(M59*0.4,2)</f>
        <v>287.2</v>
      </c>
      <c r="N65" s="7"/>
      <c r="O65" s="7">
        <f>ROUND(O59*0.4,2)</f>
        <v>287.2</v>
      </c>
      <c r="P65" s="7"/>
      <c r="Q65" s="7">
        <f>ROUND(Q59*0.4,2)</f>
        <v>287.2</v>
      </c>
    </row>
    <row r="66" spans="1:17" x14ac:dyDescent="0.25">
      <c r="A66" s="4"/>
      <c r="B66" s="4"/>
      <c r="C66" s="4" t="s">
        <v>12</v>
      </c>
      <c r="D66" s="4"/>
      <c r="E66" s="7">
        <f>ROUND((E59+E60+F61+E62+E63+E64+E65)*0.05,2)</f>
        <v>84.55</v>
      </c>
      <c r="F66" s="7"/>
      <c r="G66" s="7">
        <f>ROUND((G59+G60+H61+G62+G63+G64+G65)*0.05,2)</f>
        <v>91.73</v>
      </c>
      <c r="H66" s="7"/>
      <c r="I66" s="7">
        <f>ROUND((I59+I60+J61+I62+I63+I64+I65)*0.05,2)</f>
        <v>91.73</v>
      </c>
      <c r="J66" s="7"/>
      <c r="K66" s="7">
        <f t="shared" ref="K66:Q66" si="28">ROUND((K59+K60+L61+K62+K63+K64+K65)*0.05,2)</f>
        <v>91.73</v>
      </c>
      <c r="L66" s="7"/>
      <c r="M66" s="7">
        <f t="shared" si="28"/>
        <v>91.73</v>
      </c>
      <c r="N66" s="7"/>
      <c r="O66" s="7">
        <f t="shared" si="28"/>
        <v>91.73</v>
      </c>
      <c r="P66" s="7"/>
      <c r="Q66" s="7">
        <f t="shared" si="28"/>
        <v>91.73</v>
      </c>
    </row>
    <row r="67" spans="1:17" x14ac:dyDescent="0.25">
      <c r="A67" s="4"/>
      <c r="B67" s="4"/>
      <c r="C67" s="4" t="s">
        <v>13</v>
      </c>
      <c r="D67" s="4"/>
      <c r="E67" s="3">
        <f>ROUND((E59+E60+E61+E62+E63+E64+E65)*0.01,2)</f>
        <v>16.91</v>
      </c>
      <c r="F67" s="3"/>
      <c r="G67" s="3">
        <f>ROUND((G59+G60+G61+G62+G63+G64+G65)*0.01,2)</f>
        <v>18.350000000000001</v>
      </c>
      <c r="H67" s="3"/>
      <c r="I67" s="3">
        <f>ROUND((I59+I60+I61+I62+I63+I64+I65)*0.01,2)</f>
        <v>18.350000000000001</v>
      </c>
      <c r="J67" s="3"/>
      <c r="K67" s="3">
        <f t="shared" ref="K67:Q67" si="29">ROUND((K59+K60+K61+K62+K63+K64+K65)*0.01,2)</f>
        <v>20.21</v>
      </c>
      <c r="L67" s="3"/>
      <c r="M67" s="3">
        <f t="shared" si="29"/>
        <v>18.350000000000001</v>
      </c>
      <c r="N67" s="3"/>
      <c r="O67" s="3">
        <f t="shared" si="29"/>
        <v>18.350000000000001</v>
      </c>
      <c r="P67" s="3"/>
      <c r="Q67" s="3">
        <f t="shared" si="29"/>
        <v>20.21</v>
      </c>
    </row>
    <row r="68" spans="1:17" ht="30" x14ac:dyDescent="0.25">
      <c r="A68" s="4"/>
      <c r="B68" s="4"/>
      <c r="C68" s="6" t="s">
        <v>14</v>
      </c>
      <c r="D68" s="6"/>
      <c r="E68" s="39">
        <f>ROUND((E59+E60+E61+E62+E63+E64+E66+E67+E65)*0.302,2)</f>
        <v>541.29</v>
      </c>
      <c r="F68" s="11"/>
      <c r="G68" s="11">
        <f>ROUND((G59+G60+G61+G62+G63+G64+G66+G67+G65)*0.302,2)</f>
        <v>587.26</v>
      </c>
      <c r="H68" s="11"/>
      <c r="I68" s="11">
        <f>ROUND((I59+I60+I61+I62+I63+I64+I66+I67+I65)*0.302,2)</f>
        <v>587.26</v>
      </c>
      <c r="J68" s="11"/>
      <c r="K68" s="11">
        <f t="shared" ref="K68:Q68" si="30">ROUND((K59+K60+K61+K62+K63+K64+K66+K67+K65)*0.302,2)</f>
        <v>644.20000000000005</v>
      </c>
      <c r="L68" s="11"/>
      <c r="M68" s="11">
        <f t="shared" si="30"/>
        <v>587.26</v>
      </c>
      <c r="N68" s="11"/>
      <c r="O68" s="11">
        <f t="shared" si="30"/>
        <v>587.26</v>
      </c>
      <c r="P68" s="11"/>
      <c r="Q68" s="11">
        <f t="shared" si="30"/>
        <v>644.20000000000005</v>
      </c>
    </row>
    <row r="69" spans="1:17" ht="30" x14ac:dyDescent="0.25">
      <c r="A69" s="4"/>
      <c r="B69" s="4"/>
      <c r="C69" s="6" t="s">
        <v>49</v>
      </c>
      <c r="D69" s="6"/>
      <c r="E69" s="3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0" t="s">
        <v>15</v>
      </c>
      <c r="D70" s="10"/>
      <c r="E70" s="39">
        <f>E59+E60+E61+E62+E63+E64+E66+E67+E68+E65</f>
        <v>2333.65</v>
      </c>
      <c r="F70" s="7"/>
      <c r="G70" s="7">
        <f>G59+G60+G61+G62+G63+G64+G66+G67+G68+G65</f>
        <v>2531.8399999999997</v>
      </c>
      <c r="H70" s="7"/>
      <c r="I70" s="7">
        <f>I59+I60+I61+I62+I63+I64+I66+I67+I68+I65</f>
        <v>2531.8399999999997</v>
      </c>
      <c r="J70" s="7"/>
      <c r="K70" s="7">
        <f t="shared" ref="K70:Q70" si="31">K59+K60+K61+K62+K63+K64+K66+K67+K68+K65</f>
        <v>2777.3199999999997</v>
      </c>
      <c r="L70" s="7"/>
      <c r="M70" s="7">
        <f t="shared" si="31"/>
        <v>2531.8399999999997</v>
      </c>
      <c r="N70" s="7"/>
      <c r="O70" s="7">
        <f t="shared" si="31"/>
        <v>2531.8399999999997</v>
      </c>
      <c r="P70" s="7"/>
      <c r="Q70" s="7">
        <f t="shared" si="31"/>
        <v>2777.3199999999997</v>
      </c>
    </row>
    <row r="71" spans="1:17" x14ac:dyDescent="0.25">
      <c r="A71" s="4"/>
      <c r="B71" s="4"/>
      <c r="C71" s="10" t="s">
        <v>16</v>
      </c>
      <c r="D71" s="10"/>
      <c r="E71" s="39">
        <f>ROUND(E70*12,2)</f>
        <v>28003.8</v>
      </c>
      <c r="F71" s="5"/>
      <c r="G71" s="7">
        <f>ROUND(G70*12,2)</f>
        <v>30382.080000000002</v>
      </c>
      <c r="H71" s="4"/>
      <c r="I71" s="7">
        <f>ROUND(I70*12,2)</f>
        <v>30382.080000000002</v>
      </c>
      <c r="J71" s="17"/>
      <c r="K71" s="7">
        <f>ROUND(K70*12,2)</f>
        <v>33327.839999999997</v>
      </c>
      <c r="L71" s="17"/>
      <c r="M71" s="15">
        <f>ROUND(M70*12,2)</f>
        <v>30382.080000000002</v>
      </c>
      <c r="N71" s="17"/>
      <c r="O71" s="15">
        <f>ROUND(O70*12,2)</f>
        <v>30382.080000000002</v>
      </c>
      <c r="P71" s="17"/>
      <c r="Q71" s="7">
        <f>ROUND(Q70*12,2)</f>
        <v>33327.839999999997</v>
      </c>
    </row>
    <row r="72" spans="1:17" ht="30" x14ac:dyDescent="0.25">
      <c r="A72" s="3">
        <v>6</v>
      </c>
      <c r="B72" s="6" t="s">
        <v>7</v>
      </c>
      <c r="C72" s="6" t="s">
        <v>10</v>
      </c>
      <c r="D72" s="37">
        <v>1</v>
      </c>
      <c r="E72" s="39">
        <f>ROUND(5194*D72*1.043*1.0095,0)</f>
        <v>5469</v>
      </c>
      <c r="F72" s="18">
        <v>1.25</v>
      </c>
      <c r="G72" s="39">
        <f>ROUND(5194*F72*1.043*1.0095,0)</f>
        <v>6836</v>
      </c>
      <c r="H72" s="18">
        <v>1.25</v>
      </c>
      <c r="I72" s="39">
        <f>ROUND(5194*H72*1.043*1.0095,0)</f>
        <v>6836</v>
      </c>
      <c r="J72" s="18">
        <v>1.25</v>
      </c>
      <c r="K72" s="39">
        <f>ROUND(5194*J72*1.043*1.0095,0)</f>
        <v>6836</v>
      </c>
      <c r="L72" s="18">
        <v>1.5</v>
      </c>
      <c r="M72" s="39">
        <f>ROUND(5194*L72*1.043*1.0095,0)</f>
        <v>8203</v>
      </c>
      <c r="N72" s="18">
        <v>1.25</v>
      </c>
      <c r="O72" s="39">
        <f>ROUND(5194*N72*1.043*1.0095,0)</f>
        <v>6836</v>
      </c>
      <c r="P72" s="18">
        <v>1.25</v>
      </c>
      <c r="Q72" s="39">
        <f>ROUND(5194*P72*1.043*1.0095,0)</f>
        <v>6836</v>
      </c>
    </row>
    <row r="73" spans="1:17" ht="30" x14ac:dyDescent="0.25">
      <c r="A73" s="3"/>
      <c r="B73" s="6"/>
      <c r="C73" s="6" t="s">
        <v>53</v>
      </c>
      <c r="D73" s="37"/>
      <c r="E73" s="39"/>
      <c r="F73" s="18"/>
      <c r="G73" s="7"/>
      <c r="H73" s="18"/>
      <c r="I73" s="7"/>
      <c r="J73" s="18"/>
      <c r="K73" s="7">
        <f>ROUND(K72*0.2,2)</f>
        <v>1367.2</v>
      </c>
      <c r="L73" s="18"/>
      <c r="M73" s="15"/>
      <c r="N73" s="18"/>
      <c r="O73" s="15"/>
      <c r="P73" s="18"/>
      <c r="Q73" s="7">
        <f>ROUND(Q72*0.2,2)</f>
        <v>1367.2</v>
      </c>
    </row>
    <row r="74" spans="1:17" ht="45" x14ac:dyDescent="0.25">
      <c r="A74" s="4"/>
      <c r="B74" s="4"/>
      <c r="C74" s="6" t="s">
        <v>54</v>
      </c>
      <c r="D74" s="37"/>
      <c r="E74" s="39">
        <f>ROUND(E72*0.3,0)</f>
        <v>1641</v>
      </c>
      <c r="F74" s="4"/>
      <c r="G74" s="7">
        <f>ROUND(G72*0.3,0)</f>
        <v>2051</v>
      </c>
      <c r="H74" s="4"/>
      <c r="I74" s="7">
        <f>ROUND(I72*0.3,0)</f>
        <v>2051</v>
      </c>
      <c r="J74" s="17"/>
      <c r="K74" s="7">
        <f>ROUND(K72*0.3,0)</f>
        <v>2051</v>
      </c>
      <c r="L74" s="17"/>
      <c r="M74" s="15">
        <f>ROUND(M72*0.3,0)</f>
        <v>2461</v>
      </c>
      <c r="N74" s="17"/>
      <c r="O74" s="15">
        <f>ROUND(O72*0.3,0)</f>
        <v>2051</v>
      </c>
      <c r="P74" s="17"/>
      <c r="Q74" s="7">
        <f>ROUND(Q72*0.3,0)</f>
        <v>2051</v>
      </c>
    </row>
    <row r="75" spans="1:17" ht="45" x14ac:dyDescent="0.25">
      <c r="A75" s="4"/>
      <c r="B75" s="4"/>
      <c r="C75" s="6" t="s">
        <v>11</v>
      </c>
      <c r="D75" s="37"/>
      <c r="E75" s="39">
        <f t="shared" ref="E75" si="32">ROUND((E72)*0.05,2)</f>
        <v>273.45</v>
      </c>
      <c r="F75" s="7"/>
      <c r="G75" s="7">
        <f t="shared" ref="G75:Q75" si="33">ROUND((G72)*0.05,2)</f>
        <v>341.8</v>
      </c>
      <c r="H75" s="7"/>
      <c r="I75" s="7">
        <f t="shared" si="33"/>
        <v>341.8</v>
      </c>
      <c r="J75" s="7"/>
      <c r="K75" s="7">
        <f t="shared" si="33"/>
        <v>341.8</v>
      </c>
      <c r="L75" s="7"/>
      <c r="M75" s="7">
        <f t="shared" si="33"/>
        <v>410.15</v>
      </c>
      <c r="N75" s="7"/>
      <c r="O75" s="7">
        <f t="shared" si="33"/>
        <v>341.8</v>
      </c>
      <c r="P75" s="7"/>
      <c r="Q75" s="7">
        <f t="shared" si="33"/>
        <v>341.8</v>
      </c>
    </row>
    <row r="76" spans="1:17" ht="30.75" customHeight="1" x14ac:dyDescent="0.25">
      <c r="A76" s="4"/>
      <c r="B76" s="4"/>
      <c r="C76" s="6" t="s">
        <v>34</v>
      </c>
      <c r="D76" s="37"/>
      <c r="E76" s="39">
        <f t="shared" ref="E76" si="34">ROUND(E72*0.2,2)</f>
        <v>1093.8</v>
      </c>
      <c r="F76" s="7"/>
      <c r="G76" s="7">
        <f t="shared" ref="G76:Q76" si="35">ROUND(G72*0.2,2)</f>
        <v>1367.2</v>
      </c>
      <c r="H76" s="7"/>
      <c r="I76" s="7">
        <f t="shared" si="35"/>
        <v>1367.2</v>
      </c>
      <c r="J76" s="7"/>
      <c r="K76" s="7">
        <f t="shared" si="35"/>
        <v>1367.2</v>
      </c>
      <c r="L76" s="7"/>
      <c r="M76" s="7">
        <f t="shared" si="35"/>
        <v>1640.6</v>
      </c>
      <c r="N76" s="7"/>
      <c r="O76" s="7">
        <f t="shared" si="35"/>
        <v>1367.2</v>
      </c>
      <c r="P76" s="7"/>
      <c r="Q76" s="7">
        <f t="shared" si="35"/>
        <v>1367.2</v>
      </c>
    </row>
    <row r="77" spans="1:17" x14ac:dyDescent="0.25">
      <c r="A77" s="4"/>
      <c r="B77" s="4"/>
      <c r="C77" s="4" t="s">
        <v>12</v>
      </c>
      <c r="D77" s="3"/>
      <c r="E77" s="7">
        <f t="shared" ref="E77" si="36">ROUND((E72+E73+E74+E75+E76)*0.05,0)</f>
        <v>424</v>
      </c>
      <c r="F77" s="7"/>
      <c r="G77" s="7">
        <f t="shared" ref="G77:Q77" si="37">ROUND((G72+G73+G74+G75+G76)*0.05,0)</f>
        <v>530</v>
      </c>
      <c r="H77" s="7"/>
      <c r="I77" s="7">
        <f t="shared" si="37"/>
        <v>530</v>
      </c>
      <c r="J77" s="7"/>
      <c r="K77" s="7">
        <f t="shared" si="37"/>
        <v>598</v>
      </c>
      <c r="L77" s="7"/>
      <c r="M77" s="7">
        <f t="shared" si="37"/>
        <v>636</v>
      </c>
      <c r="N77" s="7"/>
      <c r="O77" s="7">
        <f t="shared" si="37"/>
        <v>530</v>
      </c>
      <c r="P77" s="7"/>
      <c r="Q77" s="7">
        <f t="shared" si="37"/>
        <v>598</v>
      </c>
    </row>
    <row r="78" spans="1:17" x14ac:dyDescent="0.25">
      <c r="A78" s="4"/>
      <c r="B78" s="4"/>
      <c r="C78" s="4" t="s">
        <v>13</v>
      </c>
      <c r="D78" s="3"/>
      <c r="E78" s="7">
        <f t="shared" ref="E78" si="38">ROUND((E72+E73+E74+E75+E76)*0.01,2)</f>
        <v>84.77</v>
      </c>
      <c r="F78" s="7"/>
      <c r="G78" s="7">
        <f t="shared" ref="G78:Q78" si="39">ROUND((G72+G73+G74+G75+G76)*0.01,2)</f>
        <v>105.96</v>
      </c>
      <c r="H78" s="7"/>
      <c r="I78" s="7">
        <f t="shared" si="39"/>
        <v>105.96</v>
      </c>
      <c r="J78" s="7"/>
      <c r="K78" s="7">
        <f t="shared" si="39"/>
        <v>119.63</v>
      </c>
      <c r="L78" s="7"/>
      <c r="M78" s="7">
        <f t="shared" si="39"/>
        <v>127.15</v>
      </c>
      <c r="N78" s="7"/>
      <c r="O78" s="7">
        <f t="shared" si="39"/>
        <v>105.96</v>
      </c>
      <c r="P78" s="7"/>
      <c r="Q78" s="7">
        <f t="shared" si="39"/>
        <v>119.63</v>
      </c>
    </row>
    <row r="79" spans="1:17" x14ac:dyDescent="0.25">
      <c r="A79" s="4"/>
      <c r="B79" s="4"/>
      <c r="C79" s="4" t="s">
        <v>32</v>
      </c>
      <c r="D79" s="3"/>
      <c r="E79" s="7">
        <f>ROUND((11280-(E72+E73+E74+E75+E77+E76)/D72)*D72,2)</f>
        <v>2378.75</v>
      </c>
      <c r="F79" s="7"/>
      <c r="G79" s="7">
        <f>ROUND((11280-(G72+G73+G74+G75+G77+G76)/F72)*F72,2)</f>
        <v>2974</v>
      </c>
      <c r="H79" s="7"/>
      <c r="I79" s="7">
        <f>ROUND((11280-(I72+I73+I74+I75+I77+I76)/H72)*H72,2)</f>
        <v>2974</v>
      </c>
      <c r="J79" s="7"/>
      <c r="K79" s="7">
        <f>ROUND((11280-(K72+K73+K74+K75+K77+K76)/J72)*J72,2)</f>
        <v>1538.8</v>
      </c>
      <c r="L79" s="7"/>
      <c r="M79" s="7">
        <f>ROUND((11280-(M72+M73+M74+M75+M77+M76)/L72)*L72,2)</f>
        <v>3569.25</v>
      </c>
      <c r="N79" s="7"/>
      <c r="O79" s="7">
        <f>ROUND((11280-(O72+O73+O74+O75+O77+O76)/N72)*N72,2)</f>
        <v>2974</v>
      </c>
      <c r="P79" s="7"/>
      <c r="Q79" s="7">
        <f>ROUND((11280-(Q72+Q73+Q74+Q75+Q77+Q76)/P72)*P72,2)</f>
        <v>1538.8</v>
      </c>
    </row>
    <row r="80" spans="1:17" x14ac:dyDescent="0.25">
      <c r="A80" s="4"/>
      <c r="B80" s="4"/>
      <c r="C80" s="4" t="s">
        <v>33</v>
      </c>
      <c r="D80" s="3"/>
      <c r="E80" s="7">
        <f t="shared" ref="E80" si="40">ROUND(9489/29.3*28*D72/365*28,2)</f>
        <v>695.63</v>
      </c>
      <c r="F80" s="7"/>
      <c r="G80" s="7">
        <f>ROUND(11280/29.3*28*F72/365*28,2)</f>
        <v>1033.6500000000001</v>
      </c>
      <c r="H80" s="7"/>
      <c r="I80" s="7">
        <f>ROUND(11280/29.3*28*H72/365*28,2)</f>
        <v>1033.6500000000001</v>
      </c>
      <c r="J80" s="7"/>
      <c r="K80" s="7">
        <f>ROUND(11280/29.3*28*J72/365*28,2)</f>
        <v>1033.6500000000001</v>
      </c>
      <c r="L80" s="7"/>
      <c r="M80" s="7">
        <f>ROUND(11280/29.3*28*L72/365*28,2)</f>
        <v>1240.3800000000001</v>
      </c>
      <c r="N80" s="7"/>
      <c r="O80" s="7">
        <f>ROUND(11280/29.3*28*N72/365*28,2)</f>
        <v>1033.6500000000001</v>
      </c>
      <c r="P80" s="7"/>
      <c r="Q80" s="7">
        <f>ROUND(11280/29.3*28*P72/365*28,2)</f>
        <v>1033.6500000000001</v>
      </c>
    </row>
    <row r="81" spans="1:17" ht="30" x14ac:dyDescent="0.25">
      <c r="A81" s="4"/>
      <c r="B81" s="4"/>
      <c r="C81" s="6" t="s">
        <v>14</v>
      </c>
      <c r="D81" s="37"/>
      <c r="E81" s="39">
        <f t="shared" ref="E81" si="41">ROUND((E72+E73+E74+E75+E77+E78+E79+E80+E76)*0.302,0)</f>
        <v>3642</v>
      </c>
      <c r="F81" s="7"/>
      <c r="G81" s="7">
        <f t="shared" ref="G81:Q81" si="42">ROUND((G72+G73+G74+G75+G77+G78+G79+G80+G76)*0.302,0)</f>
        <v>4602</v>
      </c>
      <c r="H81" s="7"/>
      <c r="I81" s="7">
        <f t="shared" si="42"/>
        <v>4602</v>
      </c>
      <c r="J81" s="7"/>
      <c r="K81" s="7">
        <f t="shared" si="42"/>
        <v>4606</v>
      </c>
      <c r="L81" s="7"/>
      <c r="M81" s="7">
        <f t="shared" si="42"/>
        <v>5523</v>
      </c>
      <c r="N81" s="7"/>
      <c r="O81" s="7">
        <f t="shared" si="42"/>
        <v>4602</v>
      </c>
      <c r="P81" s="7"/>
      <c r="Q81" s="7">
        <f t="shared" si="42"/>
        <v>4606</v>
      </c>
    </row>
    <row r="82" spans="1:17" ht="30" x14ac:dyDescent="0.25">
      <c r="A82" s="4"/>
      <c r="B82" s="4"/>
      <c r="C82" s="6" t="s">
        <v>25</v>
      </c>
      <c r="D82" s="37"/>
      <c r="E82" s="3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0" t="s">
        <v>15</v>
      </c>
      <c r="D83" s="38"/>
      <c r="E83" s="39">
        <f t="shared" ref="E83" si="43">E72+E73+E74+E75+E77+E78+E81+E79+E80+E76</f>
        <v>15702.4</v>
      </c>
      <c r="F83" s="7"/>
      <c r="G83" s="7">
        <f t="shared" ref="G83:Q83" si="44">G72+G73+G74+G75+G77+G78+G81+G79+G80+G76</f>
        <v>19841.61</v>
      </c>
      <c r="H83" s="7"/>
      <c r="I83" s="7">
        <f t="shared" si="44"/>
        <v>19841.61</v>
      </c>
      <c r="J83" s="7"/>
      <c r="K83" s="7">
        <f t="shared" si="44"/>
        <v>19859.280000000002</v>
      </c>
      <c r="L83" s="7"/>
      <c r="M83" s="7">
        <f t="shared" si="44"/>
        <v>23810.53</v>
      </c>
      <c r="N83" s="7"/>
      <c r="O83" s="7">
        <f t="shared" si="44"/>
        <v>19841.61</v>
      </c>
      <c r="P83" s="7"/>
      <c r="Q83" s="7">
        <f t="shared" si="44"/>
        <v>19859.280000000002</v>
      </c>
    </row>
    <row r="84" spans="1:17" x14ac:dyDescent="0.25">
      <c r="A84" s="4"/>
      <c r="B84" s="4"/>
      <c r="C84" s="10" t="s">
        <v>16</v>
      </c>
      <c r="D84" s="38"/>
      <c r="E84" s="39">
        <f>ROUND(E83*12,0)</f>
        <v>188429</v>
      </c>
      <c r="F84" s="4"/>
      <c r="G84" s="7">
        <f>ROUND(G83*12,0)</f>
        <v>238099</v>
      </c>
      <c r="H84" s="4"/>
      <c r="I84" s="7">
        <f>ROUND(I83*12,0)</f>
        <v>238099</v>
      </c>
      <c r="J84" s="17"/>
      <c r="K84" s="7">
        <f>ROUND(K83*12,0)</f>
        <v>238311</v>
      </c>
      <c r="L84" s="17"/>
      <c r="M84" s="15">
        <f>ROUND(M83*12,0)</f>
        <v>285726</v>
      </c>
      <c r="N84" s="17"/>
      <c r="O84" s="15">
        <f>ROUND(O83*12,0)</f>
        <v>238099</v>
      </c>
      <c r="P84" s="17"/>
      <c r="Q84" s="7">
        <f>ROUND(Q83*12,0)</f>
        <v>238311</v>
      </c>
    </row>
    <row r="85" spans="1:17" ht="45.75" customHeight="1" x14ac:dyDescent="0.25">
      <c r="A85" s="3">
        <v>7</v>
      </c>
      <c r="B85" s="6" t="s">
        <v>36</v>
      </c>
      <c r="C85" s="6" t="s">
        <v>37</v>
      </c>
      <c r="D85" s="37">
        <v>1</v>
      </c>
      <c r="E85" s="39">
        <f>ROUND(3880*D85*1.043*1.0095,0)</f>
        <v>4085</v>
      </c>
      <c r="F85" s="18">
        <v>1</v>
      </c>
      <c r="G85" s="39">
        <f>ROUND(3880*F85*1.043*1.0095,0)</f>
        <v>4085</v>
      </c>
      <c r="H85" s="18">
        <v>1</v>
      </c>
      <c r="I85" s="39">
        <f>ROUND(3880*H85*1.043*1.0095,0)</f>
        <v>4085</v>
      </c>
      <c r="J85" s="18">
        <v>1</v>
      </c>
      <c r="K85" s="39">
        <f>ROUND(3880*J85*1.043*1.0095,0)</f>
        <v>4085</v>
      </c>
      <c r="L85" s="18">
        <v>1</v>
      </c>
      <c r="M85" s="39">
        <f>ROUND(3880*L85*1.043*1.0095,0)</f>
        <v>4085</v>
      </c>
      <c r="N85" s="18">
        <v>1</v>
      </c>
      <c r="O85" s="39">
        <f>ROUND(3880*N85*1.043*1.0095,0)</f>
        <v>4085</v>
      </c>
      <c r="P85" s="18">
        <v>1</v>
      </c>
      <c r="Q85" s="39">
        <f>ROUND(3880*P85*1.043*1.0095,0)</f>
        <v>4085</v>
      </c>
    </row>
    <row r="86" spans="1:17" ht="45" x14ac:dyDescent="0.25">
      <c r="A86" s="4"/>
      <c r="B86" s="4"/>
      <c r="C86" s="6" t="s">
        <v>11</v>
      </c>
      <c r="D86" s="6"/>
      <c r="E86" s="39">
        <f t="shared" ref="E86" si="45">ROUND((E85)*0.05,2)</f>
        <v>204.25</v>
      </c>
      <c r="F86" s="7"/>
      <c r="G86" s="7">
        <f t="shared" ref="G86:Q86" si="46">ROUND((G85)*0.05,2)</f>
        <v>204.25</v>
      </c>
      <c r="H86" s="7"/>
      <c r="I86" s="7">
        <f t="shared" si="46"/>
        <v>204.25</v>
      </c>
      <c r="J86" s="7"/>
      <c r="K86" s="7">
        <f t="shared" si="46"/>
        <v>204.25</v>
      </c>
      <c r="L86" s="7"/>
      <c r="M86" s="7">
        <f t="shared" si="46"/>
        <v>204.25</v>
      </c>
      <c r="N86" s="7"/>
      <c r="O86" s="7">
        <f t="shared" si="46"/>
        <v>204.25</v>
      </c>
      <c r="P86" s="7"/>
      <c r="Q86" s="7">
        <f t="shared" si="46"/>
        <v>204.25</v>
      </c>
    </row>
    <row r="87" spans="1:17" ht="30.75" customHeight="1" x14ac:dyDescent="0.25">
      <c r="A87" s="4"/>
      <c r="B87" s="4"/>
      <c r="C87" s="6" t="s">
        <v>38</v>
      </c>
      <c r="D87" s="6"/>
      <c r="E87" s="39">
        <f t="shared" ref="E87" si="47">ROUND(E85*0.2,2)</f>
        <v>817</v>
      </c>
      <c r="F87" s="7"/>
      <c r="G87" s="7">
        <f t="shared" ref="G87:Q87" si="48">ROUND(G85*0.2,2)</f>
        <v>817</v>
      </c>
      <c r="H87" s="7"/>
      <c r="I87" s="7">
        <f t="shared" si="48"/>
        <v>817</v>
      </c>
      <c r="J87" s="7"/>
      <c r="K87" s="7">
        <f t="shared" si="48"/>
        <v>817</v>
      </c>
      <c r="L87" s="7"/>
      <c r="M87" s="7">
        <f t="shared" si="48"/>
        <v>817</v>
      </c>
      <c r="N87" s="7"/>
      <c r="O87" s="7">
        <f t="shared" si="48"/>
        <v>817</v>
      </c>
      <c r="P87" s="7"/>
      <c r="Q87" s="7">
        <f t="shared" si="48"/>
        <v>817</v>
      </c>
    </row>
    <row r="88" spans="1:17" x14ac:dyDescent="0.25">
      <c r="A88" s="4"/>
      <c r="B88" s="4"/>
      <c r="C88" s="4" t="s">
        <v>12</v>
      </c>
      <c r="D88" s="4"/>
      <c r="E88" s="7">
        <f t="shared" ref="E88" si="49">ROUND((E85+E86+E87)*0.05,0)</f>
        <v>255</v>
      </c>
      <c r="F88" s="7"/>
      <c r="G88" s="7">
        <f t="shared" ref="G88:Q88" si="50">ROUND((G85+G86+G87)*0.05,0)</f>
        <v>255</v>
      </c>
      <c r="H88" s="7"/>
      <c r="I88" s="7">
        <f t="shared" si="50"/>
        <v>255</v>
      </c>
      <c r="J88" s="7"/>
      <c r="K88" s="7">
        <f t="shared" si="50"/>
        <v>255</v>
      </c>
      <c r="L88" s="7"/>
      <c r="M88" s="7">
        <f t="shared" si="50"/>
        <v>255</v>
      </c>
      <c r="N88" s="7"/>
      <c r="O88" s="7">
        <f t="shared" si="50"/>
        <v>255</v>
      </c>
      <c r="P88" s="7"/>
      <c r="Q88" s="7">
        <f t="shared" si="50"/>
        <v>255</v>
      </c>
    </row>
    <row r="89" spans="1:17" x14ac:dyDescent="0.25">
      <c r="A89" s="4"/>
      <c r="B89" s="4"/>
      <c r="C89" s="4" t="s">
        <v>13</v>
      </c>
      <c r="D89" s="4"/>
      <c r="E89" s="7">
        <f t="shared" ref="E89" si="51">ROUND((E85+E86+E87)*0.01,2)</f>
        <v>51.06</v>
      </c>
      <c r="F89" s="7"/>
      <c r="G89" s="7">
        <f t="shared" ref="G89:Q89" si="52">ROUND((G85+G86+G87)*0.01,2)</f>
        <v>51.06</v>
      </c>
      <c r="H89" s="7"/>
      <c r="I89" s="7">
        <f t="shared" si="52"/>
        <v>51.06</v>
      </c>
      <c r="J89" s="7"/>
      <c r="K89" s="7">
        <f t="shared" si="52"/>
        <v>51.06</v>
      </c>
      <c r="L89" s="7"/>
      <c r="M89" s="7">
        <f t="shared" si="52"/>
        <v>51.06</v>
      </c>
      <c r="N89" s="7"/>
      <c r="O89" s="7">
        <f t="shared" si="52"/>
        <v>51.06</v>
      </c>
      <c r="P89" s="7"/>
      <c r="Q89" s="7">
        <f t="shared" si="52"/>
        <v>51.06</v>
      </c>
    </row>
    <row r="90" spans="1:17" x14ac:dyDescent="0.25">
      <c r="A90" s="4"/>
      <c r="B90" s="4"/>
      <c r="C90" s="4" t="s">
        <v>32</v>
      </c>
      <c r="D90" s="4"/>
      <c r="E90" s="7">
        <f>ROUND((11280-(E85+E86+E88+E87)/D85)*D85,2)</f>
        <v>5918.75</v>
      </c>
      <c r="F90" s="7"/>
      <c r="G90" s="7">
        <f>ROUND((11280-(G85+G86+G88+G87)/F85)*F85,2)</f>
        <v>5918.75</v>
      </c>
      <c r="H90" s="7"/>
      <c r="I90" s="7">
        <f>ROUND((11280-(I85+I86+I88+I87)/H85)*H85,2)</f>
        <v>5918.75</v>
      </c>
      <c r="J90" s="7"/>
      <c r="K90" s="7">
        <f>ROUND((11280-(K85+K86+K88+K87)/J85)*J85,2)</f>
        <v>5918.75</v>
      </c>
      <c r="L90" s="7"/>
      <c r="M90" s="7">
        <f>ROUND((11280-(M85+M86+M88+M87)/L85)*L85,2)</f>
        <v>5918.75</v>
      </c>
      <c r="N90" s="7"/>
      <c r="O90" s="7">
        <f>ROUND((11280-(O85+O86+O88+O87)/N85)*N85,2)</f>
        <v>5918.75</v>
      </c>
      <c r="P90" s="7"/>
      <c r="Q90" s="7">
        <f>ROUND((11280-(Q85+Q86+Q88+Q87)/P85)*P85,2)</f>
        <v>5918.75</v>
      </c>
    </row>
    <row r="91" spans="1:17" x14ac:dyDescent="0.25">
      <c r="A91" s="4"/>
      <c r="B91" s="4"/>
      <c r="C91" s="4" t="s">
        <v>33</v>
      </c>
      <c r="D91" s="4"/>
      <c r="E91" s="7">
        <f>ROUND(11280/29.3*28*D85/365*28,2)</f>
        <v>826.92</v>
      </c>
      <c r="F91" s="7"/>
      <c r="G91" s="7">
        <f>ROUND(11280/29.3*28*F85/365*28,2)</f>
        <v>826.92</v>
      </c>
      <c r="H91" s="7"/>
      <c r="I91" s="7">
        <f>ROUND(11280/29.3*28*H85/365*28,2)</f>
        <v>826.92</v>
      </c>
      <c r="J91" s="7"/>
      <c r="K91" s="7">
        <f>ROUND(11280/29.3*28*J85/365*28,2)</f>
        <v>826.92</v>
      </c>
      <c r="L91" s="7"/>
      <c r="M91" s="7">
        <f>ROUND(11280/29.3*28*L85/365*28,2)</f>
        <v>826.92</v>
      </c>
      <c r="N91" s="7"/>
      <c r="O91" s="7">
        <f>ROUND(11280/29.3*28*N85/365*28,2)</f>
        <v>826.92</v>
      </c>
      <c r="P91" s="7"/>
      <c r="Q91" s="7">
        <f>ROUND(11280/29.3*28*P85/365*28,2)</f>
        <v>826.92</v>
      </c>
    </row>
    <row r="92" spans="1:17" ht="30" x14ac:dyDescent="0.25">
      <c r="A92" s="4"/>
      <c r="B92" s="4"/>
      <c r="C92" s="6" t="s">
        <v>14</v>
      </c>
      <c r="D92" s="6"/>
      <c r="E92" s="39">
        <f t="shared" ref="E92" si="53">ROUND((E85+E86+E88+E89+E90+E91+E87)*0.302,0)</f>
        <v>3672</v>
      </c>
      <c r="F92" s="7"/>
      <c r="G92" s="7">
        <f t="shared" ref="G92:Q92" si="54">ROUND((G85+G86+G88+G89+G90+G91+G87)*0.302,0)</f>
        <v>3672</v>
      </c>
      <c r="H92" s="7"/>
      <c r="I92" s="7">
        <f t="shared" si="54"/>
        <v>3672</v>
      </c>
      <c r="J92" s="7"/>
      <c r="K92" s="7">
        <f t="shared" si="54"/>
        <v>3672</v>
      </c>
      <c r="L92" s="7"/>
      <c r="M92" s="7">
        <f t="shared" si="54"/>
        <v>3672</v>
      </c>
      <c r="N92" s="7"/>
      <c r="O92" s="7">
        <f t="shared" si="54"/>
        <v>3672</v>
      </c>
      <c r="P92" s="7"/>
      <c r="Q92" s="7">
        <f t="shared" si="54"/>
        <v>3672</v>
      </c>
    </row>
    <row r="93" spans="1:17" ht="30" x14ac:dyDescent="0.25">
      <c r="A93" s="4"/>
      <c r="B93" s="4"/>
      <c r="C93" s="6" t="s">
        <v>39</v>
      </c>
      <c r="D93" s="6"/>
      <c r="E93" s="3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0" t="s">
        <v>15</v>
      </c>
      <c r="D94" s="10"/>
      <c r="E94" s="39">
        <f t="shared" ref="E94" si="55">E85+E86+E88+E89+E92+E90+E91+E87</f>
        <v>15829.980000000001</v>
      </c>
      <c r="F94" s="7"/>
      <c r="G94" s="7">
        <f t="shared" ref="G94:Q94" si="56">G85+G86+G88+G89+G92+G90+G91+G87</f>
        <v>15829.980000000001</v>
      </c>
      <c r="H94" s="7"/>
      <c r="I94" s="7">
        <f t="shared" si="56"/>
        <v>15829.980000000001</v>
      </c>
      <c r="J94" s="7"/>
      <c r="K94" s="7">
        <f t="shared" si="56"/>
        <v>15829.980000000001</v>
      </c>
      <c r="L94" s="7"/>
      <c r="M94" s="7">
        <f t="shared" si="56"/>
        <v>15829.980000000001</v>
      </c>
      <c r="N94" s="7"/>
      <c r="O94" s="7">
        <f t="shared" si="56"/>
        <v>15829.980000000001</v>
      </c>
      <c r="P94" s="7"/>
      <c r="Q94" s="7">
        <f t="shared" si="56"/>
        <v>15829.980000000001</v>
      </c>
    </row>
    <row r="95" spans="1:17" x14ac:dyDescent="0.25">
      <c r="A95" s="4"/>
      <c r="B95" s="4"/>
      <c r="C95" s="10" t="s">
        <v>16</v>
      </c>
      <c r="D95" s="10"/>
      <c r="E95" s="39">
        <f t="shared" ref="E95" si="57">ROUND(E94*12,0)</f>
        <v>189960</v>
      </c>
      <c r="F95" s="7"/>
      <c r="G95" s="7">
        <f t="shared" ref="G95:Q95" si="58">ROUND(G94*12,0)</f>
        <v>189960</v>
      </c>
      <c r="H95" s="7"/>
      <c r="I95" s="7">
        <f t="shared" si="58"/>
        <v>189960</v>
      </c>
      <c r="J95" s="7"/>
      <c r="K95" s="7">
        <f t="shared" si="58"/>
        <v>189960</v>
      </c>
      <c r="L95" s="7"/>
      <c r="M95" s="7">
        <f t="shared" si="58"/>
        <v>189960</v>
      </c>
      <c r="N95" s="7"/>
      <c r="O95" s="7">
        <f t="shared" si="58"/>
        <v>189960</v>
      </c>
      <c r="P95" s="7"/>
      <c r="Q95" s="7">
        <f t="shared" si="58"/>
        <v>189960</v>
      </c>
    </row>
    <row r="96" spans="1:17" ht="19.5" customHeight="1" x14ac:dyDescent="0.25">
      <c r="A96" s="4"/>
      <c r="B96" s="63" t="s">
        <v>29</v>
      </c>
      <c r="C96" s="64"/>
      <c r="D96" s="51"/>
      <c r="E96" s="48"/>
      <c r="F96" s="4"/>
      <c r="G96" s="4"/>
      <c r="H96" s="4"/>
      <c r="I96" s="4"/>
      <c r="J96" s="4"/>
      <c r="K96" s="4"/>
      <c r="L96" s="4"/>
      <c r="M96" s="17"/>
      <c r="N96" s="17"/>
      <c r="O96" s="17"/>
      <c r="P96" s="4"/>
      <c r="Q96" s="4"/>
    </row>
    <row r="97" spans="1:19" ht="48.75" customHeight="1" x14ac:dyDescent="0.25">
      <c r="A97" s="4"/>
      <c r="B97" s="6"/>
      <c r="C97" s="6" t="s">
        <v>58</v>
      </c>
      <c r="D97" s="6"/>
      <c r="E97" s="39">
        <f>ROUND((E18+E32+E45+E58+E71+E84+E95)*0.192,2)</f>
        <v>191020.65</v>
      </c>
      <c r="F97" s="7"/>
      <c r="G97" s="7">
        <f>ROUND((G18+G32+G45+G58+G71+G84+G95)*0.192,2)</f>
        <v>213487.61</v>
      </c>
      <c r="H97" s="7"/>
      <c r="I97" s="7">
        <f>ROUND((I18+I32+I45+I58+I71+I84+I95)*0.192,2)</f>
        <v>221476.11</v>
      </c>
      <c r="J97" s="7"/>
      <c r="K97" s="7">
        <f>ROUND((K18+K32+K45+K58+K71+K84+K95)*0.192,2)</f>
        <v>373783.63</v>
      </c>
      <c r="L97" s="7"/>
      <c r="M97" s="7">
        <f>ROUND((M18+M32+M45+M58+M71+M84+M95)*0.192,2)</f>
        <v>270681.36</v>
      </c>
      <c r="N97" s="7"/>
      <c r="O97" s="7">
        <f>ROUND((O18+O32+O45+O58+O71+O84+O95)*0.192,2)</f>
        <v>269525.48</v>
      </c>
      <c r="P97" s="7"/>
      <c r="Q97" s="7">
        <f>ROUND((Q18+Q32+Q45+Q58+Q71+Q84+Q95)*0.192,2)</f>
        <v>409283.99</v>
      </c>
    </row>
    <row r="98" spans="1:19" ht="64.5" customHeight="1" x14ac:dyDescent="0.25">
      <c r="A98" s="4"/>
      <c r="B98" s="58" t="s">
        <v>31</v>
      </c>
      <c r="C98" s="62"/>
      <c r="D98" s="50"/>
      <c r="E98" s="40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60</v>
      </c>
      <c r="D99" s="6"/>
      <c r="E99" s="39">
        <f>ROUND((E18+E32+E45+E58+E71+E84+E95)*0.028,2)</f>
        <v>27857.18</v>
      </c>
      <c r="F99" s="7"/>
      <c r="G99" s="7">
        <f>ROUND((G18+G32+G45+G58+G71+G84+G95)*0.028,2)</f>
        <v>31133.61</v>
      </c>
      <c r="H99" s="7"/>
      <c r="I99" s="7">
        <f>ROUND((I18+I32+I45+I58+I71+I84+I95)*0.028,2)</f>
        <v>32298.6</v>
      </c>
      <c r="J99" s="7"/>
      <c r="K99" s="7">
        <f>ROUND((K18+K32+K45+K58+K71+K84+K95)*0.028,2)</f>
        <v>54510.11</v>
      </c>
      <c r="L99" s="7"/>
      <c r="M99" s="7">
        <f>ROUND((M18+M32+M45+M58+M71+M84+M95)*0.028,2)</f>
        <v>39474.370000000003</v>
      </c>
      <c r="N99" s="7"/>
      <c r="O99" s="7">
        <f>ROUND((O18+O32+O45+O58+O71+O84+O95)*0.028,2)</f>
        <v>39305.800000000003</v>
      </c>
      <c r="P99" s="7"/>
      <c r="Q99" s="7">
        <f>ROUND((Q18+Q32+Q45+Q58+Q71+Q84+Q95)*0.028,2)</f>
        <v>59687.25</v>
      </c>
    </row>
    <row r="100" spans="1:19" ht="66.75" customHeight="1" x14ac:dyDescent="0.25">
      <c r="A100" s="4"/>
      <c r="B100" s="58" t="s">
        <v>35</v>
      </c>
      <c r="C100" s="62"/>
      <c r="D100" s="50"/>
      <c r="E100" s="4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59</v>
      </c>
      <c r="D101" s="6"/>
      <c r="E101" s="39">
        <f>ROUND((E18+E32+E45+E58+E71+E84+E95)*0.038,2)</f>
        <v>37806.17</v>
      </c>
      <c r="F101" s="7"/>
      <c r="G101" s="7">
        <f>ROUND((G18+G32+G45+G58+G71+G84+G95)*0.038,2)</f>
        <v>42252.76</v>
      </c>
      <c r="H101" s="7"/>
      <c r="I101" s="7">
        <f t="shared" ref="I101:Q101" si="59">ROUND((I18+I32+I45+I58+I71+I84+I95)*0.038,2)</f>
        <v>43833.81</v>
      </c>
      <c r="J101" s="7"/>
      <c r="K101" s="7">
        <f t="shared" si="59"/>
        <v>73978.009999999995</v>
      </c>
      <c r="L101" s="7"/>
      <c r="M101" s="7">
        <f t="shared" si="59"/>
        <v>53572.35</v>
      </c>
      <c r="N101" s="7"/>
      <c r="O101" s="7">
        <f t="shared" si="59"/>
        <v>53343.58</v>
      </c>
      <c r="P101" s="7"/>
      <c r="Q101" s="7">
        <f t="shared" si="59"/>
        <v>81004.12</v>
      </c>
    </row>
    <row r="102" spans="1:19" ht="68.25" customHeight="1" x14ac:dyDescent="0.25">
      <c r="A102" s="4"/>
      <c r="B102" s="58" t="s">
        <v>30</v>
      </c>
      <c r="C102" s="62"/>
      <c r="D102" s="50"/>
      <c r="E102" s="7">
        <f>E18+E32+E45+E58+E71+E84+E95+E97+E99+E101</f>
        <v>1251583.1999999997</v>
      </c>
      <c r="F102" s="22"/>
      <c r="G102" s="22">
        <f>G18+G32+G45+G58+G71+G84+G95+G97+G99+G101</f>
        <v>1398788.62</v>
      </c>
      <c r="H102" s="22"/>
      <c r="I102" s="22">
        <f>I18+I32+I45+I58+I71+I84+I95+I97+I99+I101</f>
        <v>1451129.92</v>
      </c>
      <c r="J102" s="22"/>
      <c r="K102" s="22">
        <f>K18+K32+K45+K58+K71+K84+K95+K97+K99+K101</f>
        <v>2449061.5099999998</v>
      </c>
      <c r="L102" s="22"/>
      <c r="M102" s="22">
        <f>M18+M32+M45+M58+M71+M84+M95+M97+M99+M101</f>
        <v>1773526.8399999999</v>
      </c>
      <c r="N102" s="22"/>
      <c r="O102" s="22">
        <f>O18+O32+O45+O58+O71+O84+O95+O97+O99+O101</f>
        <v>1765953.3800000001</v>
      </c>
      <c r="P102" s="22"/>
      <c r="Q102" s="22">
        <f>Q18+Q32+Q45+Q58+Q71+Q84+Q95+Q97+Q99+Q101</f>
        <v>2681662.8000000007</v>
      </c>
    </row>
    <row r="103" spans="1:19" ht="22.5" customHeight="1" x14ac:dyDescent="0.25">
      <c r="A103" s="4"/>
      <c r="B103" s="69"/>
      <c r="C103" s="70"/>
      <c r="D103" s="48"/>
      <c r="E103" s="48"/>
      <c r="F103" s="7"/>
      <c r="G103" s="7"/>
      <c r="H103" s="7"/>
      <c r="I103" s="7"/>
      <c r="J103" s="7"/>
      <c r="K103" s="7"/>
      <c r="L103" s="7"/>
      <c r="M103" s="7"/>
      <c r="N103" s="15"/>
      <c r="O103" s="7"/>
      <c r="P103" s="4"/>
      <c r="Q103" s="7"/>
    </row>
    <row r="104" spans="1:19" ht="47.25" customHeight="1" x14ac:dyDescent="0.25">
      <c r="A104" s="4"/>
      <c r="B104" s="58" t="s">
        <v>41</v>
      </c>
      <c r="C104" s="62"/>
      <c r="D104" s="42">
        <v>25</v>
      </c>
      <c r="E104" s="5">
        <f>ROUND(E102/D104,0)</f>
        <v>50063</v>
      </c>
      <c r="F104" s="25">
        <v>20</v>
      </c>
      <c r="G104" s="5">
        <f>ROUND(G102/F104,0)</f>
        <v>69939</v>
      </c>
      <c r="H104" s="25">
        <v>25</v>
      </c>
      <c r="I104" s="5">
        <f>ROUND(I102/H104,0)</f>
        <v>58045</v>
      </c>
      <c r="J104" s="25">
        <v>10</v>
      </c>
      <c r="K104" s="5">
        <f>ROUND(K102/J104,0)</f>
        <v>244906</v>
      </c>
      <c r="L104" s="25">
        <v>20</v>
      </c>
      <c r="M104" s="5">
        <f>ROUND(M102/L104,0)</f>
        <v>88676</v>
      </c>
      <c r="N104" s="26">
        <v>25</v>
      </c>
      <c r="O104" s="5">
        <f>ROUND(O102/N104,0)</f>
        <v>70638</v>
      </c>
      <c r="P104" s="26">
        <v>10</v>
      </c>
      <c r="Q104" s="5">
        <f>ROUND(Q102/P104,0)</f>
        <v>268166</v>
      </c>
      <c r="R104" s="27"/>
      <c r="S104" s="28"/>
    </row>
    <row r="105" spans="1:19" ht="46.5" customHeight="1" x14ac:dyDescent="0.25">
      <c r="A105" s="4"/>
      <c r="B105" s="58" t="s">
        <v>42</v>
      </c>
      <c r="C105" s="62"/>
      <c r="D105" s="4"/>
      <c r="E105" s="44">
        <v>55776</v>
      </c>
      <c r="F105" s="4"/>
      <c r="G105" s="44">
        <v>55776</v>
      </c>
      <c r="H105" s="4"/>
      <c r="I105" s="44">
        <v>55776</v>
      </c>
      <c r="J105" s="4"/>
      <c r="K105" s="44">
        <v>55776</v>
      </c>
      <c r="L105" s="4"/>
      <c r="M105" s="44">
        <v>55776</v>
      </c>
      <c r="N105" s="17"/>
      <c r="O105" s="44">
        <v>55776</v>
      </c>
      <c r="P105" s="4"/>
      <c r="Q105" s="44">
        <v>55776</v>
      </c>
    </row>
    <row r="106" spans="1:19" ht="77.25" customHeight="1" x14ac:dyDescent="0.25">
      <c r="A106" s="4"/>
      <c r="B106" s="60" t="s">
        <v>43</v>
      </c>
      <c r="C106" s="61"/>
      <c r="D106" s="43"/>
      <c r="E106" s="20">
        <f>ROUND(E104/E105,3)</f>
        <v>0.89800000000000002</v>
      </c>
      <c r="F106" s="3"/>
      <c r="G106" s="3">
        <f t="shared" ref="G106:Q106" si="60">ROUND(G104/G105,3)</f>
        <v>1.254</v>
      </c>
      <c r="H106" s="3"/>
      <c r="I106" s="3">
        <f t="shared" si="60"/>
        <v>1.0409999999999999</v>
      </c>
      <c r="J106" s="3"/>
      <c r="K106" s="3">
        <f t="shared" si="60"/>
        <v>4.391</v>
      </c>
      <c r="L106" s="3"/>
      <c r="M106" s="3">
        <f t="shared" si="60"/>
        <v>1.59</v>
      </c>
      <c r="N106" s="3"/>
      <c r="O106" s="3">
        <f t="shared" si="60"/>
        <v>1.266</v>
      </c>
      <c r="P106" s="3"/>
      <c r="Q106" s="3">
        <f t="shared" si="60"/>
        <v>4.8079999999999998</v>
      </c>
    </row>
  </sheetData>
  <mergeCells count="20">
    <mergeCell ref="B104:C104"/>
    <mergeCell ref="B105:C105"/>
    <mergeCell ref="B106:C106"/>
    <mergeCell ref="N3:O3"/>
    <mergeCell ref="B96:C96"/>
    <mergeCell ref="B98:C98"/>
    <mergeCell ref="B100:C100"/>
    <mergeCell ref="B102:C102"/>
    <mergeCell ref="B103:C103"/>
    <mergeCell ref="A1:Q1"/>
    <mergeCell ref="A2:A4"/>
    <mergeCell ref="B2:B4"/>
    <mergeCell ref="C2:C4"/>
    <mergeCell ref="D2:Q2"/>
    <mergeCell ref="D3:E3"/>
    <mergeCell ref="F3:G3"/>
    <mergeCell ref="H3:I3"/>
    <mergeCell ref="J3:K3"/>
    <mergeCell ref="L3:M3"/>
    <mergeCell ref="P3:Q3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view="pageBreakPreview" zoomScale="75" zoomScaleNormal="81" zoomScaleSheetLayoutView="75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D3" sqref="D3:E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6" style="1" customWidth="1"/>
    <col min="6" max="6" width="14.5703125" style="1" customWidth="1"/>
    <col min="7" max="7" width="12.85546875" style="1" customWidth="1"/>
    <col min="8" max="8" width="14.85546875" style="1" customWidth="1"/>
    <col min="9" max="9" width="15.140625" style="1" customWidth="1"/>
    <col min="10" max="10" width="12" style="1" customWidth="1"/>
    <col min="11" max="11" width="17.7109375" style="1" customWidth="1"/>
    <col min="12" max="12" width="13.42578125" style="1" customWidth="1"/>
    <col min="13" max="13" width="15.7109375" style="19" customWidth="1"/>
    <col min="14" max="14" width="14.85546875" style="19" customWidth="1"/>
    <col min="15" max="15" width="15.7109375" style="19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46.5" customHeight="1" x14ac:dyDescent="0.25">
      <c r="A2" s="74" t="s">
        <v>2</v>
      </c>
      <c r="B2" s="74" t="s">
        <v>0</v>
      </c>
      <c r="C2" s="74" t="s">
        <v>1</v>
      </c>
      <c r="D2" s="71" t="s">
        <v>69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2" customFormat="1" ht="51" customHeight="1" x14ac:dyDescent="0.25">
      <c r="A3" s="75"/>
      <c r="B3" s="75"/>
      <c r="C3" s="75"/>
      <c r="D3" s="67" t="s">
        <v>27</v>
      </c>
      <c r="E3" s="67"/>
      <c r="F3" s="67" t="s">
        <v>26</v>
      </c>
      <c r="G3" s="67"/>
      <c r="H3" s="71" t="s">
        <v>19</v>
      </c>
      <c r="I3" s="73"/>
      <c r="J3" s="65" t="s">
        <v>63</v>
      </c>
      <c r="K3" s="66"/>
      <c r="L3" s="67" t="s">
        <v>8</v>
      </c>
      <c r="M3" s="67"/>
      <c r="N3" s="65" t="s">
        <v>9</v>
      </c>
      <c r="O3" s="66"/>
      <c r="P3" s="65" t="s">
        <v>64</v>
      </c>
      <c r="Q3" s="66"/>
    </row>
    <row r="4" spans="1:17" ht="48.75" customHeight="1" x14ac:dyDescent="0.25">
      <c r="A4" s="76"/>
      <c r="B4" s="76"/>
      <c r="C4" s="76"/>
      <c r="D4" s="49" t="s">
        <v>5</v>
      </c>
      <c r="E4" s="47" t="s">
        <v>6</v>
      </c>
      <c r="F4" s="49" t="s">
        <v>5</v>
      </c>
      <c r="G4" s="47" t="s">
        <v>6</v>
      </c>
      <c r="H4" s="49" t="s">
        <v>5</v>
      </c>
      <c r="I4" s="47" t="s">
        <v>6</v>
      </c>
      <c r="J4" s="49" t="s">
        <v>5</v>
      </c>
      <c r="K4" s="47" t="s">
        <v>6</v>
      </c>
      <c r="L4" s="49" t="s">
        <v>5</v>
      </c>
      <c r="M4" s="31" t="s">
        <v>6</v>
      </c>
      <c r="N4" s="13" t="s">
        <v>5</v>
      </c>
      <c r="O4" s="31" t="s">
        <v>6</v>
      </c>
      <c r="P4" s="47" t="s">
        <v>5</v>
      </c>
      <c r="Q4" s="47" t="s">
        <v>6</v>
      </c>
    </row>
    <row r="5" spans="1:17" ht="45" x14ac:dyDescent="0.25">
      <c r="A5" s="3">
        <v>1</v>
      </c>
      <c r="B5" s="4" t="s">
        <v>3</v>
      </c>
      <c r="C5" s="6" t="s">
        <v>37</v>
      </c>
      <c r="D5" s="7">
        <v>1.25</v>
      </c>
      <c r="E5" s="7">
        <f>ROUND(8216*D5*1.043*1.0095,2)</f>
        <v>10813.37</v>
      </c>
      <c r="F5" s="7">
        <v>1.39</v>
      </c>
      <c r="G5" s="7">
        <f>ROUND(8216*F5*1.043*1.0095,2)</f>
        <v>12024.47</v>
      </c>
      <c r="H5" s="7">
        <v>1.39</v>
      </c>
      <c r="I5" s="7">
        <f>ROUND(8216*H5*1.043*1.0095,2)</f>
        <v>12024.47</v>
      </c>
      <c r="J5" s="15">
        <v>2</v>
      </c>
      <c r="K5" s="7">
        <f>ROUND(8216*J5*1.043*1.0095,2)</f>
        <v>17301.39</v>
      </c>
      <c r="L5" s="15">
        <v>2</v>
      </c>
      <c r="M5" s="7">
        <f>ROUND(8216*L5*1.043*1.0095,2)</f>
        <v>17301.39</v>
      </c>
      <c r="N5" s="15">
        <v>2</v>
      </c>
      <c r="O5" s="7">
        <f>ROUND(8216*N5*1.043*1.0095,2)</f>
        <v>17301.39</v>
      </c>
      <c r="P5" s="15">
        <v>2.4</v>
      </c>
      <c r="Q5" s="7">
        <f>ROUND(8216*P5*1.043*1.0095,2)</f>
        <v>20761.669999999998</v>
      </c>
    </row>
    <row r="6" spans="1:17" ht="57.75" customHeight="1" x14ac:dyDescent="0.25">
      <c r="A6" s="3"/>
      <c r="B6" s="4"/>
      <c r="C6" s="6" t="s">
        <v>46</v>
      </c>
      <c r="D6" s="7"/>
      <c r="E6" s="7">
        <f>ROUND(E5*0.3,2)</f>
        <v>3244.01</v>
      </c>
      <c r="F6" s="7"/>
      <c r="G6" s="7">
        <f>ROUND(G5*0.3,2)</f>
        <v>3607.34</v>
      </c>
      <c r="H6" s="7"/>
      <c r="I6" s="7">
        <f>ROUND(I5*0.3,2)</f>
        <v>3607.34</v>
      </c>
      <c r="J6" s="15"/>
      <c r="K6" s="7">
        <f>ROUND(K5*0.3,2)</f>
        <v>5190.42</v>
      </c>
      <c r="L6" s="15"/>
      <c r="M6" s="15">
        <f>ROUND(M5*0.3,2)</f>
        <v>5190.42</v>
      </c>
      <c r="N6" s="15"/>
      <c r="O6" s="15">
        <f>ROUND(O5*0.3,2)</f>
        <v>5190.42</v>
      </c>
      <c r="P6" s="15"/>
      <c r="Q6" s="7">
        <f>ROUND(Q5*0.3,2)</f>
        <v>6228.5</v>
      </c>
    </row>
    <row r="7" spans="1:17" ht="48" customHeight="1" x14ac:dyDescent="0.25">
      <c r="A7" s="3"/>
      <c r="B7" s="4"/>
      <c r="C7" s="6" t="s">
        <v>45</v>
      </c>
      <c r="D7" s="7"/>
      <c r="E7" s="7"/>
      <c r="F7" s="7"/>
      <c r="G7" s="7"/>
      <c r="H7" s="7"/>
      <c r="I7" s="7"/>
      <c r="J7" s="15"/>
      <c r="K7" s="7">
        <f>ROUND((K5+K6)*0.2,2)</f>
        <v>4498.3599999999997</v>
      </c>
      <c r="L7" s="15"/>
      <c r="M7" s="15"/>
      <c r="N7" s="15"/>
      <c r="O7" s="15"/>
      <c r="P7" s="15"/>
      <c r="Q7" s="7">
        <f>ROUND((Q5+Q6)*0.2,2)</f>
        <v>5398.03</v>
      </c>
    </row>
    <row r="8" spans="1:17" ht="60" customHeight="1" x14ac:dyDescent="0.25">
      <c r="A8" s="4"/>
      <c r="B8" s="4"/>
      <c r="C8" s="6" t="s">
        <v>47</v>
      </c>
      <c r="D8" s="4"/>
      <c r="E8" s="7">
        <f>ROUND((E5+E6)*0.3,2)</f>
        <v>4217.21</v>
      </c>
      <c r="F8" s="5"/>
      <c r="G8" s="7">
        <f>ROUND((G5+G6)*0.3,2)</f>
        <v>4689.54</v>
      </c>
      <c r="H8" s="5"/>
      <c r="I8" s="7">
        <f>ROUND((I5+I6)*0.3,2)</f>
        <v>4689.54</v>
      </c>
      <c r="J8" s="16"/>
      <c r="K8" s="7">
        <f>ROUND((K5+K6)*0.3,2)</f>
        <v>6747.54</v>
      </c>
      <c r="L8" s="16"/>
      <c r="M8" s="15">
        <f>ROUND((M5+M6)*0.3,2)</f>
        <v>6747.54</v>
      </c>
      <c r="N8" s="16"/>
      <c r="O8" s="15">
        <f>ROUND((O5+O6)*0.3,2)</f>
        <v>6747.54</v>
      </c>
      <c r="P8" s="16"/>
      <c r="Q8" s="7">
        <f>ROUND((Q5+Q6)*0.3,2)</f>
        <v>8097.05</v>
      </c>
    </row>
    <row r="9" spans="1:17" ht="51.75" customHeight="1" x14ac:dyDescent="0.25">
      <c r="A9" s="4"/>
      <c r="B9" s="4"/>
      <c r="C9" s="6" t="s">
        <v>56</v>
      </c>
      <c r="D9" s="3"/>
      <c r="E9" s="7">
        <f t="shared" ref="E9" si="0">ROUND(E5*0.25,2)</f>
        <v>2703.34</v>
      </c>
      <c r="F9" s="7"/>
      <c r="G9" s="7">
        <f t="shared" ref="G9" si="1">ROUND(G5*0.25,2)</f>
        <v>3006.12</v>
      </c>
      <c r="H9" s="7"/>
      <c r="I9" s="7">
        <f>ROUND(I5*0.25,2)</f>
        <v>3006.12</v>
      </c>
      <c r="J9" s="7"/>
      <c r="K9" s="7">
        <f t="shared" ref="K9:O9" si="2">ROUND(K5*0.25,2)</f>
        <v>4325.3500000000004</v>
      </c>
      <c r="L9" s="7"/>
      <c r="M9" s="15">
        <f t="shared" si="2"/>
        <v>4325.3500000000004</v>
      </c>
      <c r="N9" s="15"/>
      <c r="O9" s="15">
        <f t="shared" si="2"/>
        <v>4325.3500000000004</v>
      </c>
      <c r="P9" s="7"/>
      <c r="Q9" s="7">
        <f t="shared" ref="Q9" si="3">ROUND(Q5*0.25,2)</f>
        <v>5190.42</v>
      </c>
    </row>
    <row r="10" spans="1:17" ht="46.5" customHeight="1" x14ac:dyDescent="0.25">
      <c r="A10" s="4"/>
      <c r="B10" s="4"/>
      <c r="C10" s="6" t="s">
        <v>11</v>
      </c>
      <c r="D10" s="4"/>
      <c r="E10" s="7">
        <f>ROUND((E5+E6)*0.05,2)</f>
        <v>702.87</v>
      </c>
      <c r="F10" s="7"/>
      <c r="G10" s="7">
        <f t="shared" ref="G10:Q10" si="4">ROUND((G5+G6)*0.05,2)</f>
        <v>781.59</v>
      </c>
      <c r="H10" s="7"/>
      <c r="I10" s="7">
        <f t="shared" si="4"/>
        <v>781.59</v>
      </c>
      <c r="J10" s="7"/>
      <c r="K10" s="7">
        <f t="shared" si="4"/>
        <v>1124.5899999999999</v>
      </c>
      <c r="L10" s="7"/>
      <c r="M10" s="7">
        <f t="shared" si="4"/>
        <v>1124.5899999999999</v>
      </c>
      <c r="N10" s="7"/>
      <c r="O10" s="7">
        <f t="shared" si="4"/>
        <v>1124.5899999999999</v>
      </c>
      <c r="P10" s="7"/>
      <c r="Q10" s="7">
        <f t="shared" si="4"/>
        <v>1349.51</v>
      </c>
    </row>
    <row r="11" spans="1:17" ht="61.5" customHeight="1" x14ac:dyDescent="0.25">
      <c r="A11" s="4"/>
      <c r="B11" s="4"/>
      <c r="C11" s="6" t="s">
        <v>48</v>
      </c>
      <c r="D11" s="4"/>
      <c r="E11" s="7">
        <f>ROUND(E5*0.4,2)</f>
        <v>4325.3500000000004</v>
      </c>
      <c r="F11" s="7"/>
      <c r="G11" s="7">
        <f t="shared" ref="G11:Q11" si="5">ROUND(G5*0.4,2)</f>
        <v>4809.79</v>
      </c>
      <c r="H11" s="7"/>
      <c r="I11" s="7">
        <f t="shared" si="5"/>
        <v>4809.79</v>
      </c>
      <c r="J11" s="7"/>
      <c r="K11" s="7">
        <f t="shared" si="5"/>
        <v>6920.56</v>
      </c>
      <c r="L11" s="7"/>
      <c r="M11" s="7">
        <f t="shared" si="5"/>
        <v>6920.56</v>
      </c>
      <c r="N11" s="7"/>
      <c r="O11" s="7">
        <f t="shared" si="5"/>
        <v>6920.56</v>
      </c>
      <c r="P11" s="7"/>
      <c r="Q11" s="7">
        <f t="shared" si="5"/>
        <v>8304.67</v>
      </c>
    </row>
    <row r="12" spans="1:17" ht="39.75" customHeight="1" x14ac:dyDescent="0.25">
      <c r="A12" s="4"/>
      <c r="B12" s="4"/>
      <c r="C12" s="6" t="s">
        <v>61</v>
      </c>
      <c r="D12" s="4"/>
      <c r="E12" s="7">
        <f>ROUND(E5*0.4,2)</f>
        <v>4325.3500000000004</v>
      </c>
      <c r="F12" s="7"/>
      <c r="G12" s="7">
        <f>ROUND(G5*0.4,2)</f>
        <v>4809.79</v>
      </c>
      <c r="H12" s="7"/>
      <c r="I12" s="7">
        <f>ROUND(I5*0.4,2)</f>
        <v>4809.79</v>
      </c>
      <c r="J12" s="7"/>
      <c r="K12" s="7">
        <f>ROUND(K5*0.4,2)</f>
        <v>6920.56</v>
      </c>
      <c r="L12" s="7"/>
      <c r="M12" s="7">
        <f>ROUND(M5*0.4,2)</f>
        <v>6920.56</v>
      </c>
      <c r="N12" s="7"/>
      <c r="O12" s="7">
        <f>ROUND(O5*0.4,2)</f>
        <v>6920.56</v>
      </c>
      <c r="P12" s="7"/>
      <c r="Q12" s="7">
        <f>ROUND(Q5*0.4,2)</f>
        <v>8304.67</v>
      </c>
    </row>
    <row r="13" spans="1:17" ht="28.5" customHeight="1" x14ac:dyDescent="0.25">
      <c r="A13" s="4"/>
      <c r="B13" s="4"/>
      <c r="C13" s="4" t="s">
        <v>12</v>
      </c>
      <c r="D13" s="4"/>
      <c r="E13" s="7">
        <f>ROUND((E5+E6+E7+E8+E9+E10+E11+E12)*0.05,2)</f>
        <v>1516.58</v>
      </c>
      <c r="F13" s="7"/>
      <c r="G13" s="7">
        <f t="shared" ref="G13:Q13" si="6">ROUND((G5+G6+G7+G8+G9+G10+G11+G12)*0.05,2)</f>
        <v>1686.43</v>
      </c>
      <c r="H13" s="7"/>
      <c r="I13" s="7">
        <f t="shared" si="6"/>
        <v>1686.43</v>
      </c>
      <c r="J13" s="7"/>
      <c r="K13" s="7">
        <f>ROUND((K5+K6+K7+K8+K9+K10+K11+K12)*0.05,2)</f>
        <v>2651.44</v>
      </c>
      <c r="L13" s="7"/>
      <c r="M13" s="7">
        <f t="shared" si="6"/>
        <v>2426.52</v>
      </c>
      <c r="N13" s="7"/>
      <c r="O13" s="7">
        <f t="shared" si="6"/>
        <v>2426.52</v>
      </c>
      <c r="P13" s="7"/>
      <c r="Q13" s="7">
        <f t="shared" si="6"/>
        <v>3181.73</v>
      </c>
    </row>
    <row r="14" spans="1:17" ht="24.75" customHeight="1" x14ac:dyDescent="0.25">
      <c r="A14" s="4"/>
      <c r="B14" s="4"/>
      <c r="C14" s="4" t="s">
        <v>13</v>
      </c>
      <c r="D14" s="4"/>
      <c r="E14" s="3">
        <f>ROUND((E5+E6+E7+E8+E9+E10+E11+E12)*0.01,2)</f>
        <v>303.32</v>
      </c>
      <c r="F14" s="3"/>
      <c r="G14" s="3">
        <f t="shared" ref="G14:Q14" si="7">ROUND((G5+G6+G7+G8+G9+G10+G11+G12)*0.01,2)</f>
        <v>337.29</v>
      </c>
      <c r="H14" s="3"/>
      <c r="I14" s="3">
        <f t="shared" si="7"/>
        <v>337.29</v>
      </c>
      <c r="J14" s="3"/>
      <c r="K14" s="3">
        <f>ROUND((K5+K6+K7+K8+K9+K10+K11+K12)*0.01,2)</f>
        <v>530.29</v>
      </c>
      <c r="L14" s="3"/>
      <c r="M14" s="3">
        <f t="shared" si="7"/>
        <v>485.3</v>
      </c>
      <c r="N14" s="3"/>
      <c r="O14" s="3">
        <f t="shared" si="7"/>
        <v>485.3</v>
      </c>
      <c r="P14" s="3"/>
      <c r="Q14" s="3">
        <f t="shared" si="7"/>
        <v>636.35</v>
      </c>
    </row>
    <row r="15" spans="1:17" ht="24.75" customHeight="1" x14ac:dyDescent="0.25">
      <c r="A15" s="4"/>
      <c r="B15" s="4"/>
      <c r="C15" s="4" t="s">
        <v>33</v>
      </c>
      <c r="D15" s="4"/>
      <c r="E15" s="7">
        <f>ROUND(23687.14/29.3*42/12*D5,2)</f>
        <v>3536.9</v>
      </c>
      <c r="F15" s="7"/>
      <c r="G15" s="7">
        <f>ROUND(23687.14/29.3*42/12*F5,2)</f>
        <v>3933.04</v>
      </c>
      <c r="H15" s="7"/>
      <c r="I15" s="7">
        <f>ROUND(23687.14/29.3*42/12*H5,2)</f>
        <v>3933.04</v>
      </c>
      <c r="J15" s="7"/>
      <c r="K15" s="7">
        <f>ROUND(23687.14/29.3*56/12*J5,2)</f>
        <v>7545.39</v>
      </c>
      <c r="L15" s="7"/>
      <c r="M15" s="7">
        <f>ROUND(23687.14/29.3*42/12*L5,2)</f>
        <v>5659.04</v>
      </c>
      <c r="N15" s="7"/>
      <c r="O15" s="7">
        <f>ROUND(23687.14/29.3*42/12*N5,2)</f>
        <v>5659.04</v>
      </c>
      <c r="P15" s="7"/>
      <c r="Q15" s="7">
        <f>ROUND(23687.14/29.3*56/12*P5,2)</f>
        <v>9054.4699999999993</v>
      </c>
    </row>
    <row r="16" spans="1:17" ht="39" customHeight="1" x14ac:dyDescent="0.25">
      <c r="A16" s="4"/>
      <c r="B16" s="4"/>
      <c r="C16" s="6" t="s">
        <v>14</v>
      </c>
      <c r="D16" s="4"/>
      <c r="E16" s="11">
        <f>ROUND((E5+E6+E7+E8+E9+E10+E11+E13+E14+E15+E12)*0.302,2)</f>
        <v>10777.87</v>
      </c>
      <c r="F16" s="11"/>
      <c r="G16" s="11">
        <f t="shared" ref="G16:Q16" si="8">ROUND((G5+G6+G7+G8+G9+G10+G11+G13+G14+G15+G12)*0.302,2)</f>
        <v>11984.99</v>
      </c>
      <c r="H16" s="11"/>
      <c r="I16" s="11">
        <f t="shared" si="8"/>
        <v>11984.99</v>
      </c>
      <c r="J16" s="11"/>
      <c r="K16" s="11">
        <f>ROUND((K5+K6+K7+K8+K9+K10+K11+K13+K14+K15+K12)*0.302,2)</f>
        <v>19254.28</v>
      </c>
      <c r="L16" s="11"/>
      <c r="M16" s="11">
        <f t="shared" si="8"/>
        <v>17244.580000000002</v>
      </c>
      <c r="N16" s="11"/>
      <c r="O16" s="11">
        <f t="shared" si="8"/>
        <v>17244.580000000002</v>
      </c>
      <c r="P16" s="11"/>
      <c r="Q16" s="11">
        <f t="shared" si="8"/>
        <v>23105.14</v>
      </c>
    </row>
    <row r="17" spans="1:17" ht="36" customHeight="1" x14ac:dyDescent="0.25">
      <c r="A17" s="4"/>
      <c r="B17" s="4"/>
      <c r="C17" s="6" t="s">
        <v>17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0" t="s">
        <v>15</v>
      </c>
      <c r="D18" s="4"/>
      <c r="E18" s="7">
        <f>E5+E6+E7+E8+E9+E10+E11+E13+E14+E16+E15+E12</f>
        <v>46466.170000000006</v>
      </c>
      <c r="F18" s="7"/>
      <c r="G18" s="7">
        <f t="shared" ref="G18:Q18" si="9">G5+G6+G7+G8+G9+G10+G11+G13+G14+G16+G15+G12</f>
        <v>51670.39</v>
      </c>
      <c r="H18" s="7"/>
      <c r="I18" s="7">
        <f t="shared" si="9"/>
        <v>51670.39</v>
      </c>
      <c r="J18" s="7"/>
      <c r="K18" s="7">
        <f>K5+K6+K7+K8+K9+K10+K11+K13+K14+K16+K15+K12</f>
        <v>83010.17</v>
      </c>
      <c r="L18" s="7"/>
      <c r="M18" s="7">
        <f t="shared" si="9"/>
        <v>74345.849999999991</v>
      </c>
      <c r="N18" s="7"/>
      <c r="O18" s="7">
        <f t="shared" si="9"/>
        <v>74345.849999999991</v>
      </c>
      <c r="P18" s="7"/>
      <c r="Q18" s="7">
        <f t="shared" si="9"/>
        <v>99612.21</v>
      </c>
    </row>
    <row r="19" spans="1:17" ht="24.75" customHeight="1" x14ac:dyDescent="0.25">
      <c r="A19" s="4"/>
      <c r="B19" s="4"/>
      <c r="C19" s="10" t="s">
        <v>16</v>
      </c>
      <c r="D19" s="4"/>
      <c r="E19" s="7">
        <f>ROUND(E18*12,2)</f>
        <v>557594.04</v>
      </c>
      <c r="F19" s="5"/>
      <c r="G19" s="7">
        <f>ROUND(G18*12,2)</f>
        <v>620044.68000000005</v>
      </c>
      <c r="H19" s="5"/>
      <c r="I19" s="7">
        <f>ROUND(I18*12,2)</f>
        <v>620044.68000000005</v>
      </c>
      <c r="J19" s="16"/>
      <c r="K19" s="7">
        <f>ROUND(K18*12,2)</f>
        <v>996122.04</v>
      </c>
      <c r="L19" s="16"/>
      <c r="M19" s="15">
        <f>ROUND(M18*12,2)</f>
        <v>892150.2</v>
      </c>
      <c r="N19" s="16"/>
      <c r="O19" s="15">
        <f>ROUND(O18*12,2)</f>
        <v>892150.2</v>
      </c>
      <c r="P19" s="16"/>
      <c r="Q19" s="7">
        <f>ROUND(Q18*12,2)</f>
        <v>1195346.52</v>
      </c>
    </row>
    <row r="20" spans="1:17" x14ac:dyDescent="0.25">
      <c r="A20" s="4"/>
      <c r="B20" s="4"/>
      <c r="C20" s="4"/>
      <c r="D20" s="4"/>
      <c r="E20" s="4"/>
      <c r="F20" s="4"/>
      <c r="G20" s="22"/>
      <c r="H20" s="4"/>
      <c r="I20" s="22"/>
      <c r="J20" s="17"/>
      <c r="K20" s="23"/>
      <c r="L20" s="17"/>
      <c r="M20" s="23"/>
      <c r="N20" s="17"/>
      <c r="O20" s="23"/>
      <c r="P20" s="17"/>
      <c r="Q20" s="23"/>
    </row>
    <row r="21" spans="1:17" ht="45" x14ac:dyDescent="0.25">
      <c r="A21" s="3">
        <v>2</v>
      </c>
      <c r="B21" s="6" t="s">
        <v>4</v>
      </c>
      <c r="C21" s="6" t="s">
        <v>37</v>
      </c>
      <c r="D21" s="3">
        <v>0.25</v>
      </c>
      <c r="E21" s="7">
        <f>ROUND(7471*D21*1.043*1.0095,2)</f>
        <v>1966.57</v>
      </c>
      <c r="F21" s="7">
        <v>0.25</v>
      </c>
      <c r="G21" s="7">
        <f>ROUND(7471*F21*1.01075,2)</f>
        <v>1887.83</v>
      </c>
      <c r="H21" s="3">
        <v>0.25</v>
      </c>
      <c r="I21" s="7">
        <f>ROUND(7471*H21*1.01075,2)</f>
        <v>1887.83</v>
      </c>
      <c r="J21" s="18">
        <v>0.25</v>
      </c>
      <c r="K21" s="7">
        <f>ROUND(7471*J21*1.01075,2)</f>
        <v>1887.83</v>
      </c>
      <c r="L21" s="18">
        <v>0.25</v>
      </c>
      <c r="M21" s="7">
        <f>ROUND(7471*L21*1.01075,2)</f>
        <v>1887.83</v>
      </c>
      <c r="N21" s="18">
        <v>0.25</v>
      </c>
      <c r="O21" s="7">
        <f>ROUND(7471*N21*1.01075,2)</f>
        <v>1887.83</v>
      </c>
      <c r="P21" s="18">
        <v>0.25</v>
      </c>
      <c r="Q21" s="7">
        <f>ROUND(7471*P21*1.043*1.0095,2)</f>
        <v>1966.57</v>
      </c>
    </row>
    <row r="22" spans="1:17" ht="45" x14ac:dyDescent="0.25">
      <c r="A22" s="4"/>
      <c r="B22" s="4"/>
      <c r="C22" s="6" t="s">
        <v>46</v>
      </c>
      <c r="D22" s="4"/>
      <c r="E22" s="7">
        <f>ROUND(E21*0.3,2)</f>
        <v>589.97</v>
      </c>
      <c r="F22" s="5"/>
      <c r="G22" s="7">
        <f>ROUND(G21*0.3,2)</f>
        <v>566.35</v>
      </c>
      <c r="H22" s="4"/>
      <c r="I22" s="7">
        <f>ROUND(I21*0.3,2)</f>
        <v>566.35</v>
      </c>
      <c r="J22" s="17"/>
      <c r="K22" s="7">
        <f>ROUND(K21*0.3,2)</f>
        <v>566.35</v>
      </c>
      <c r="L22" s="17"/>
      <c r="M22" s="15">
        <f>ROUND(M21*0.3,2)</f>
        <v>566.35</v>
      </c>
      <c r="N22" s="17"/>
      <c r="O22" s="15">
        <f>ROUND(O21*0.3,2)</f>
        <v>566.35</v>
      </c>
      <c r="P22" s="17"/>
      <c r="Q22" s="7">
        <f>ROUND(Q21*0.3,2)</f>
        <v>589.97</v>
      </c>
    </row>
    <row r="23" spans="1:17" ht="45.75" customHeight="1" x14ac:dyDescent="0.25">
      <c r="A23" s="4"/>
      <c r="B23" s="4"/>
      <c r="C23" s="6" t="s">
        <v>45</v>
      </c>
      <c r="D23" s="4"/>
      <c r="E23" s="7"/>
      <c r="F23" s="5"/>
      <c r="G23" s="7"/>
      <c r="H23" s="4"/>
      <c r="I23" s="7"/>
      <c r="J23" s="17"/>
      <c r="K23" s="7">
        <f>ROUND((K21+K22)*0.2,2)</f>
        <v>490.84</v>
      </c>
      <c r="L23" s="17"/>
      <c r="M23" s="15"/>
      <c r="N23" s="17"/>
      <c r="O23" s="15"/>
      <c r="P23" s="17"/>
      <c r="Q23" s="7">
        <f>ROUND((Q21+Q22)*0.2,2)</f>
        <v>511.31</v>
      </c>
    </row>
    <row r="24" spans="1:17" ht="60" x14ac:dyDescent="0.25">
      <c r="A24" s="4"/>
      <c r="B24" s="4"/>
      <c r="C24" s="6" t="s">
        <v>47</v>
      </c>
      <c r="D24" s="4"/>
      <c r="E24" s="7">
        <f>ROUND((E21+E22)*0.3,2)</f>
        <v>766.96</v>
      </c>
      <c r="F24" s="5"/>
      <c r="G24" s="7">
        <f>ROUND((G21+G22)*0.3,2)</f>
        <v>736.25</v>
      </c>
      <c r="H24" s="4"/>
      <c r="I24" s="7">
        <f>ROUND((I21+I22)*0.3,2)</f>
        <v>736.25</v>
      </c>
      <c r="J24" s="17"/>
      <c r="K24" s="7">
        <f>ROUND((K21+K22)*0.3,2)</f>
        <v>736.25</v>
      </c>
      <c r="L24" s="17"/>
      <c r="M24" s="15">
        <f>ROUND((M21+M22)*0.3,2)</f>
        <v>736.25</v>
      </c>
      <c r="N24" s="17"/>
      <c r="O24" s="15">
        <f>ROUND((O21+O22)*0.3,2)</f>
        <v>736.25</v>
      </c>
      <c r="P24" s="17"/>
      <c r="Q24" s="7">
        <f>ROUND((Q21+Q22)*0.3,2)</f>
        <v>766.96</v>
      </c>
    </row>
    <row r="25" spans="1:17" ht="34.5" customHeight="1" x14ac:dyDescent="0.25">
      <c r="A25" s="4"/>
      <c r="B25" s="4"/>
      <c r="C25" s="6" t="s">
        <v>56</v>
      </c>
      <c r="D25" s="4"/>
      <c r="E25" s="7">
        <f>ROUND(E21*0.25,2)</f>
        <v>491.64</v>
      </c>
      <c r="F25" s="5"/>
      <c r="G25" s="7">
        <f>ROUND(G21*0.25,2)</f>
        <v>471.96</v>
      </c>
      <c r="H25" s="4"/>
      <c r="I25" s="7">
        <f>ROUND(I21*0.25,2)</f>
        <v>471.96</v>
      </c>
      <c r="J25" s="17"/>
      <c r="K25" s="7">
        <f t="shared" ref="K25" si="10">ROUND(K21*0.25,2)</f>
        <v>471.96</v>
      </c>
      <c r="L25" s="17"/>
      <c r="M25" s="15">
        <f>ROUND(M21*0.25,2)</f>
        <v>471.96</v>
      </c>
      <c r="N25" s="17"/>
      <c r="O25" s="15">
        <f>ROUND(O21*0.25,2)</f>
        <v>471.96</v>
      </c>
      <c r="P25" s="17"/>
      <c r="Q25" s="7">
        <f t="shared" ref="Q25" si="11">ROUND(Q21*0.25,2)</f>
        <v>491.64</v>
      </c>
    </row>
    <row r="26" spans="1:17" ht="45" x14ac:dyDescent="0.25">
      <c r="A26" s="4"/>
      <c r="B26" s="4"/>
      <c r="C26" s="6" t="s">
        <v>11</v>
      </c>
      <c r="D26" s="4"/>
      <c r="E26" s="7">
        <f>ROUND((E21+E22)*0.05,2)</f>
        <v>127.83</v>
      </c>
      <c r="F26" s="7"/>
      <c r="G26" s="7">
        <f t="shared" ref="G26:Q26" si="12">ROUND((G21+G22)*0.05,2)</f>
        <v>122.71</v>
      </c>
      <c r="H26" s="7"/>
      <c r="I26" s="7">
        <f t="shared" si="12"/>
        <v>122.71</v>
      </c>
      <c r="J26" s="7"/>
      <c r="K26" s="7">
        <f t="shared" si="12"/>
        <v>122.71</v>
      </c>
      <c r="L26" s="7"/>
      <c r="M26" s="7">
        <f t="shared" si="12"/>
        <v>122.71</v>
      </c>
      <c r="N26" s="7"/>
      <c r="O26" s="7">
        <f t="shared" si="12"/>
        <v>122.71</v>
      </c>
      <c r="P26" s="7"/>
      <c r="Q26" s="7">
        <f t="shared" si="12"/>
        <v>127.83</v>
      </c>
    </row>
    <row r="27" spans="1:17" ht="45" x14ac:dyDescent="0.25">
      <c r="A27" s="4"/>
      <c r="B27" s="4"/>
      <c r="C27" s="6" t="s">
        <v>48</v>
      </c>
      <c r="D27" s="4"/>
      <c r="E27" s="7">
        <f>ROUND(E21*0.4,2)</f>
        <v>786.63</v>
      </c>
      <c r="F27" s="7"/>
      <c r="G27" s="7">
        <f t="shared" ref="G27:Q27" si="13">ROUND(G21*0.4,2)</f>
        <v>755.13</v>
      </c>
      <c r="H27" s="7"/>
      <c r="I27" s="7">
        <f t="shared" si="13"/>
        <v>755.13</v>
      </c>
      <c r="J27" s="7"/>
      <c r="K27" s="7">
        <f t="shared" si="13"/>
        <v>755.13</v>
      </c>
      <c r="L27" s="7"/>
      <c r="M27" s="7">
        <f t="shared" si="13"/>
        <v>755.13</v>
      </c>
      <c r="N27" s="7"/>
      <c r="O27" s="7">
        <f t="shared" si="13"/>
        <v>755.13</v>
      </c>
      <c r="P27" s="7"/>
      <c r="Q27" s="7">
        <f t="shared" si="13"/>
        <v>786.63</v>
      </c>
    </row>
    <row r="28" spans="1:17" ht="35.25" customHeight="1" x14ac:dyDescent="0.25">
      <c r="A28" s="4"/>
      <c r="B28" s="4"/>
      <c r="C28" s="6" t="s">
        <v>61</v>
      </c>
      <c r="D28" s="4"/>
      <c r="E28" s="7">
        <f>ROUND(E21*0.4,2)</f>
        <v>786.63</v>
      </c>
      <c r="F28" s="7"/>
      <c r="G28" s="7">
        <f>ROUND(G21*0.4,2)</f>
        <v>755.13</v>
      </c>
      <c r="H28" s="7"/>
      <c r="I28" s="7">
        <f>ROUND(I21*0.4,2)</f>
        <v>755.13</v>
      </c>
      <c r="J28" s="7"/>
      <c r="K28" s="7">
        <f>ROUND(K21*0.4,2)</f>
        <v>755.13</v>
      </c>
      <c r="L28" s="7"/>
      <c r="M28" s="7">
        <f>ROUND(M21*0.4,2)</f>
        <v>755.13</v>
      </c>
      <c r="N28" s="7"/>
      <c r="O28" s="7">
        <f>ROUND(O21*0.4,2)</f>
        <v>755.13</v>
      </c>
      <c r="P28" s="7"/>
      <c r="Q28" s="7">
        <f>ROUND(Q21*0.4,2)</f>
        <v>786.63</v>
      </c>
    </row>
    <row r="29" spans="1:17" x14ac:dyDescent="0.25">
      <c r="A29" s="4"/>
      <c r="B29" s="4"/>
      <c r="C29" s="4" t="s">
        <v>12</v>
      </c>
      <c r="D29" s="4"/>
      <c r="E29" s="7">
        <f>ROUND((E21+E22+E23++E24+E25+E26+E27+E28)*0.05,2)</f>
        <v>275.81</v>
      </c>
      <c r="F29" s="7"/>
      <c r="G29" s="7">
        <f t="shared" ref="G29:Q29" si="14">ROUND((G21+G22+G23++G24+G25+G26+G27+G28)*0.05,2)</f>
        <v>264.77</v>
      </c>
      <c r="H29" s="7"/>
      <c r="I29" s="7">
        <f t="shared" si="14"/>
        <v>264.77</v>
      </c>
      <c r="J29" s="7"/>
      <c r="K29" s="7">
        <f t="shared" si="14"/>
        <v>289.31</v>
      </c>
      <c r="L29" s="7"/>
      <c r="M29" s="7">
        <f t="shared" si="14"/>
        <v>264.77</v>
      </c>
      <c r="N29" s="7"/>
      <c r="O29" s="7">
        <f t="shared" si="14"/>
        <v>264.77</v>
      </c>
      <c r="P29" s="7"/>
      <c r="Q29" s="7">
        <f t="shared" si="14"/>
        <v>301.38</v>
      </c>
    </row>
    <row r="30" spans="1:17" x14ac:dyDescent="0.25">
      <c r="A30" s="4"/>
      <c r="B30" s="4"/>
      <c r="C30" s="4" t="s">
        <v>13</v>
      </c>
      <c r="D30" s="4"/>
      <c r="E30" s="3">
        <f>ROUND((E21+E22+E23+E24+E25+E26+E27+E28)*0.01,2)</f>
        <v>55.16</v>
      </c>
      <c r="F30" s="3"/>
      <c r="G30" s="3">
        <f t="shared" ref="G30:Q30" si="15">ROUND((G21+G22+G23+G24+G25+G26+G27+G28)*0.01,2)</f>
        <v>52.95</v>
      </c>
      <c r="H30" s="3"/>
      <c r="I30" s="3">
        <f t="shared" si="15"/>
        <v>52.95</v>
      </c>
      <c r="J30" s="3"/>
      <c r="K30" s="3">
        <f t="shared" si="15"/>
        <v>57.86</v>
      </c>
      <c r="L30" s="3"/>
      <c r="M30" s="3">
        <f t="shared" si="15"/>
        <v>52.95</v>
      </c>
      <c r="N30" s="3"/>
      <c r="O30" s="3">
        <f t="shared" si="15"/>
        <v>52.95</v>
      </c>
      <c r="P30" s="3"/>
      <c r="Q30" s="3">
        <f t="shared" si="15"/>
        <v>60.28</v>
      </c>
    </row>
    <row r="31" spans="1:17" ht="30" x14ac:dyDescent="0.25">
      <c r="A31" s="4"/>
      <c r="B31" s="4"/>
      <c r="C31" s="6" t="s">
        <v>14</v>
      </c>
      <c r="D31" s="4"/>
      <c r="E31" s="11">
        <f>ROUND((E21+E22+E23+E24+E25+E26+E27+E29+E30+E28)*0.302,2)</f>
        <v>1765.85</v>
      </c>
      <c r="F31" s="11"/>
      <c r="G31" s="11">
        <f t="shared" ref="G31:Q31" si="16">ROUND((G21+G22+G23+G24+G25+G26+G27+G29+G30+G28)*0.302,2)</f>
        <v>1695.15</v>
      </c>
      <c r="H31" s="11"/>
      <c r="I31" s="11">
        <f t="shared" si="16"/>
        <v>1695.15</v>
      </c>
      <c r="J31" s="11"/>
      <c r="K31" s="11">
        <f t="shared" si="16"/>
        <v>1852.28</v>
      </c>
      <c r="L31" s="11"/>
      <c r="M31" s="11">
        <f t="shared" si="16"/>
        <v>1695.15</v>
      </c>
      <c r="N31" s="11"/>
      <c r="O31" s="11">
        <f t="shared" si="16"/>
        <v>1695.15</v>
      </c>
      <c r="P31" s="11"/>
      <c r="Q31" s="11">
        <f t="shared" si="16"/>
        <v>1929.54</v>
      </c>
    </row>
    <row r="32" spans="1:17" ht="52.5" customHeight="1" x14ac:dyDescent="0.25">
      <c r="A32" s="4"/>
      <c r="B32" s="4"/>
      <c r="C32" s="6" t="s">
        <v>21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0" t="s">
        <v>15</v>
      </c>
      <c r="D33" s="4"/>
      <c r="E33" s="7">
        <f>E21+E22+E23+E24+E25+E26+E27+E29+E30+E31+E28</f>
        <v>7613.05</v>
      </c>
      <c r="F33" s="7"/>
      <c r="G33" s="7">
        <f t="shared" ref="G33:Q33" si="17">G21+G22+G23+G24+G25+G26+G27+G29+G30+G31+G28</f>
        <v>7308.2300000000005</v>
      </c>
      <c r="H33" s="7"/>
      <c r="I33" s="7">
        <f t="shared" si="17"/>
        <v>7308.2300000000005</v>
      </c>
      <c r="J33" s="7"/>
      <c r="K33" s="7">
        <f t="shared" si="17"/>
        <v>7985.65</v>
      </c>
      <c r="L33" s="7"/>
      <c r="M33" s="7">
        <f t="shared" si="17"/>
        <v>7308.2300000000005</v>
      </c>
      <c r="N33" s="7"/>
      <c r="O33" s="7">
        <f t="shared" si="17"/>
        <v>7308.2300000000005</v>
      </c>
      <c r="P33" s="7"/>
      <c r="Q33" s="7">
        <f t="shared" si="17"/>
        <v>8318.74</v>
      </c>
    </row>
    <row r="34" spans="1:17" x14ac:dyDescent="0.25">
      <c r="A34" s="4"/>
      <c r="B34" s="4"/>
      <c r="C34" s="10" t="s">
        <v>16</v>
      </c>
      <c r="D34" s="4"/>
      <c r="E34" s="7">
        <f>ROUND(E33*12,2)</f>
        <v>91356.6</v>
      </c>
      <c r="F34" s="5"/>
      <c r="G34" s="7">
        <f>ROUND(G33*12,2)</f>
        <v>87698.76</v>
      </c>
      <c r="H34" s="4"/>
      <c r="I34" s="7">
        <f>ROUND(I33*12,2)</f>
        <v>87698.76</v>
      </c>
      <c r="J34" s="17"/>
      <c r="K34" s="7">
        <f>ROUND(K33*12,2)</f>
        <v>95827.8</v>
      </c>
      <c r="L34" s="17"/>
      <c r="M34" s="15">
        <f>ROUND(M33*12,2)</f>
        <v>87698.76</v>
      </c>
      <c r="N34" s="17"/>
      <c r="O34" s="15">
        <f>ROUND(O33*12,2)</f>
        <v>87698.76</v>
      </c>
      <c r="P34" s="17"/>
      <c r="Q34" s="7">
        <f>ROUND(Q33*12,2)</f>
        <v>99824.88</v>
      </c>
    </row>
    <row r="35" spans="1:17" ht="45" x14ac:dyDescent="0.25">
      <c r="A35" s="3">
        <v>3</v>
      </c>
      <c r="B35" s="6" t="s">
        <v>28</v>
      </c>
      <c r="C35" s="6" t="s">
        <v>37</v>
      </c>
      <c r="D35" s="3">
        <v>0.125</v>
      </c>
      <c r="E35" s="7">
        <f>ROUND(7471*D35*1.043*1.0095,2)</f>
        <v>983.28</v>
      </c>
      <c r="F35" s="20"/>
      <c r="G35" s="7">
        <f>ROUND(7471*F35*1.043*1.0095,2)</f>
        <v>0</v>
      </c>
      <c r="H35" s="20">
        <v>0.125</v>
      </c>
      <c r="I35" s="7">
        <f>ROUND(7471*H35*1.043*1.0095,2)</f>
        <v>983.28</v>
      </c>
      <c r="J35" s="21">
        <v>0.125</v>
      </c>
      <c r="K35" s="7">
        <f>ROUND(7471*J35*1.043*1.0095,2)</f>
        <v>983.28</v>
      </c>
      <c r="L35" s="21"/>
      <c r="M35" s="7">
        <f>ROUND(7471*L35*1.043*1.0095,2)</f>
        <v>0</v>
      </c>
      <c r="N35" s="21">
        <v>0.125</v>
      </c>
      <c r="O35" s="7">
        <f>ROUND(7471*N35*1.043*1.0095,2)</f>
        <v>983.28</v>
      </c>
      <c r="P35" s="21">
        <v>0.125</v>
      </c>
      <c r="Q35" s="7">
        <f>ROUND(7471*P35*1.043*1.0095,2)</f>
        <v>983.28</v>
      </c>
    </row>
    <row r="36" spans="1:17" ht="45" x14ac:dyDescent="0.25">
      <c r="A36" s="4"/>
      <c r="B36" s="4"/>
      <c r="C36" s="6" t="s">
        <v>46</v>
      </c>
      <c r="D36" s="4"/>
      <c r="E36" s="7">
        <f>ROUND(E35*0.3,2)</f>
        <v>294.98</v>
      </c>
      <c r="F36" s="5"/>
      <c r="G36" s="7">
        <f>ROUND(G35*0.3,2)</f>
        <v>0</v>
      </c>
      <c r="H36" s="4"/>
      <c r="I36" s="7">
        <f>ROUND(I35*0.3,2)</f>
        <v>294.98</v>
      </c>
      <c r="J36" s="17"/>
      <c r="K36" s="7">
        <f>ROUND(K35*0.3,2)</f>
        <v>294.98</v>
      </c>
      <c r="L36" s="17"/>
      <c r="M36" s="15">
        <f>ROUND(M35*0.3,2)</f>
        <v>0</v>
      </c>
      <c r="N36" s="17"/>
      <c r="O36" s="15">
        <f>ROUND(O35*0.3,2)</f>
        <v>294.98</v>
      </c>
      <c r="P36" s="17"/>
      <c r="Q36" s="7">
        <f>ROUND(Q35*0.3,2)</f>
        <v>294.98</v>
      </c>
    </row>
    <row r="37" spans="1:17" ht="45" x14ac:dyDescent="0.25">
      <c r="A37" s="4"/>
      <c r="B37" s="4"/>
      <c r="C37" s="6" t="s">
        <v>45</v>
      </c>
      <c r="D37" s="4"/>
      <c r="E37" s="7"/>
      <c r="F37" s="5"/>
      <c r="G37" s="7"/>
      <c r="H37" s="4"/>
      <c r="I37" s="7"/>
      <c r="J37" s="17"/>
      <c r="K37" s="7">
        <f>ROUND((K35+K36)*0.2,2)</f>
        <v>255.65</v>
      </c>
      <c r="L37" s="17"/>
      <c r="M37" s="15"/>
      <c r="N37" s="17"/>
      <c r="O37" s="15"/>
      <c r="P37" s="17"/>
      <c r="Q37" s="7">
        <f>ROUND((Q35+Q36)*0.2,2)</f>
        <v>255.65</v>
      </c>
    </row>
    <row r="38" spans="1:17" ht="60" x14ac:dyDescent="0.25">
      <c r="A38" s="4"/>
      <c r="B38" s="4"/>
      <c r="C38" s="6" t="s">
        <v>47</v>
      </c>
      <c r="D38" s="4"/>
      <c r="E38" s="7">
        <f>ROUND((E35+E36)*0.3,2)</f>
        <v>383.48</v>
      </c>
      <c r="F38" s="5"/>
      <c r="G38" s="7">
        <f>ROUND((G35+G36)*0.3,2)</f>
        <v>0</v>
      </c>
      <c r="H38" s="4"/>
      <c r="I38" s="7">
        <f>ROUND((I35+I36)*0.3,2)</f>
        <v>383.48</v>
      </c>
      <c r="J38" s="17"/>
      <c r="K38" s="7">
        <f>ROUND((K35+K36)*0.3,2)</f>
        <v>383.48</v>
      </c>
      <c r="L38" s="17"/>
      <c r="M38" s="15">
        <f>ROUND((M35+M36)*0.3,2)</f>
        <v>0</v>
      </c>
      <c r="N38" s="17"/>
      <c r="O38" s="15">
        <f>ROUND((O35+O36)*0.3,2)</f>
        <v>383.48</v>
      </c>
      <c r="P38" s="17"/>
      <c r="Q38" s="7">
        <f>ROUND((Q35+Q36)*0.3,2)</f>
        <v>383.48</v>
      </c>
    </row>
    <row r="39" spans="1:17" ht="53.25" customHeight="1" x14ac:dyDescent="0.25">
      <c r="A39" s="4"/>
      <c r="B39" s="4"/>
      <c r="C39" s="6" t="s">
        <v>56</v>
      </c>
      <c r="D39" s="4"/>
      <c r="E39" s="7">
        <f>ROUND(E35*0.25,2)</f>
        <v>245.82</v>
      </c>
      <c r="F39" s="7"/>
      <c r="G39" s="7">
        <f t="shared" ref="G39:O39" si="18">ROUND(G35*0.25,2)</f>
        <v>0</v>
      </c>
      <c r="H39" s="7"/>
      <c r="I39" s="7">
        <f t="shared" si="18"/>
        <v>245.82</v>
      </c>
      <c r="J39" s="7"/>
      <c r="K39" s="7">
        <f t="shared" ref="K39" si="19">ROUND(K35*0.25,2)</f>
        <v>245.82</v>
      </c>
      <c r="L39" s="7"/>
      <c r="M39" s="15">
        <f t="shared" si="18"/>
        <v>0</v>
      </c>
      <c r="N39" s="15"/>
      <c r="O39" s="15">
        <f t="shared" si="18"/>
        <v>245.82</v>
      </c>
      <c r="P39" s="7"/>
      <c r="Q39" s="7">
        <f t="shared" ref="Q39" si="20">ROUND(Q35*0.25,2)</f>
        <v>245.82</v>
      </c>
    </row>
    <row r="40" spans="1:17" ht="45" x14ac:dyDescent="0.25">
      <c r="A40" s="4"/>
      <c r="B40" s="4"/>
      <c r="C40" s="6" t="s">
        <v>11</v>
      </c>
      <c r="D40" s="4"/>
      <c r="E40" s="7">
        <f>ROUND((E35+E36)*0.05,2)</f>
        <v>63.91</v>
      </c>
      <c r="F40" s="7"/>
      <c r="G40" s="7">
        <f t="shared" ref="G40:Q40" si="21">ROUND((G35+G36)*0.05,2)</f>
        <v>0</v>
      </c>
      <c r="H40" s="7"/>
      <c r="I40" s="7">
        <f t="shared" si="21"/>
        <v>63.91</v>
      </c>
      <c r="J40" s="7"/>
      <c r="K40" s="7">
        <f t="shared" si="21"/>
        <v>63.91</v>
      </c>
      <c r="L40" s="7"/>
      <c r="M40" s="7">
        <f t="shared" si="21"/>
        <v>0</v>
      </c>
      <c r="N40" s="7"/>
      <c r="O40" s="7">
        <f t="shared" si="21"/>
        <v>63.91</v>
      </c>
      <c r="P40" s="7"/>
      <c r="Q40" s="7">
        <f t="shared" si="21"/>
        <v>63.91</v>
      </c>
    </row>
    <row r="41" spans="1:17" ht="45" x14ac:dyDescent="0.25">
      <c r="A41" s="4"/>
      <c r="B41" s="4"/>
      <c r="C41" s="6" t="s">
        <v>48</v>
      </c>
      <c r="D41" s="4"/>
      <c r="E41" s="7">
        <f>ROUND(E35*0.4,2)</f>
        <v>393.31</v>
      </c>
      <c r="F41" s="7"/>
      <c r="G41" s="7">
        <f t="shared" ref="G41:Q41" si="22">ROUND(G35*0.4,2)</f>
        <v>0</v>
      </c>
      <c r="H41" s="7"/>
      <c r="I41" s="7">
        <f t="shared" si="22"/>
        <v>393.31</v>
      </c>
      <c r="J41" s="7"/>
      <c r="K41" s="7">
        <f t="shared" si="22"/>
        <v>393.31</v>
      </c>
      <c r="L41" s="7"/>
      <c r="M41" s="7">
        <f t="shared" si="22"/>
        <v>0</v>
      </c>
      <c r="N41" s="7"/>
      <c r="O41" s="7">
        <f t="shared" si="22"/>
        <v>393.31</v>
      </c>
      <c r="P41" s="7"/>
      <c r="Q41" s="7">
        <f t="shared" si="22"/>
        <v>393.31</v>
      </c>
    </row>
    <row r="42" spans="1:17" ht="36.75" customHeight="1" x14ac:dyDescent="0.25">
      <c r="A42" s="4"/>
      <c r="B42" s="4"/>
      <c r="C42" s="6" t="s">
        <v>61</v>
      </c>
      <c r="D42" s="4"/>
      <c r="E42" s="7">
        <f>ROUND(E35*0.4,2)</f>
        <v>393.31</v>
      </c>
      <c r="F42" s="7"/>
      <c r="G42" s="7">
        <f>ROUND(G35*0.4,2)</f>
        <v>0</v>
      </c>
      <c r="H42" s="7"/>
      <c r="I42" s="7">
        <f>ROUND(I35*0.4,2)</f>
        <v>393.31</v>
      </c>
      <c r="J42" s="7"/>
      <c r="K42" s="7">
        <f>ROUND(K35*0.4,2)</f>
        <v>393.31</v>
      </c>
      <c r="L42" s="7"/>
      <c r="M42" s="7">
        <f>ROUND(M35*0.4,2)</f>
        <v>0</v>
      </c>
      <c r="N42" s="7"/>
      <c r="O42" s="7">
        <f>ROUND(O35*0.4,2)</f>
        <v>393.31</v>
      </c>
      <c r="P42" s="7"/>
      <c r="Q42" s="7">
        <f>ROUND(Q35*0.4,2)</f>
        <v>393.31</v>
      </c>
    </row>
    <row r="43" spans="1:17" ht="26.25" customHeight="1" x14ac:dyDescent="0.25">
      <c r="A43" s="4"/>
      <c r="B43" s="4"/>
      <c r="C43" s="4" t="s">
        <v>12</v>
      </c>
      <c r="D43" s="4"/>
      <c r="E43" s="7">
        <f>ROUND((E35+E36+E37+E38+E39+E40+E41+E42)*0.05,2)</f>
        <v>137.9</v>
      </c>
      <c r="F43" s="7"/>
      <c r="G43" s="7">
        <f t="shared" ref="G43:Q43" si="23">ROUND((G35+G36+G37+G38+G39+G40+G41+G42)*0.05,2)</f>
        <v>0</v>
      </c>
      <c r="H43" s="7"/>
      <c r="I43" s="7">
        <f t="shared" si="23"/>
        <v>137.9</v>
      </c>
      <c r="J43" s="7"/>
      <c r="K43" s="7">
        <f t="shared" si="23"/>
        <v>150.69</v>
      </c>
      <c r="L43" s="7"/>
      <c r="M43" s="7">
        <f t="shared" si="23"/>
        <v>0</v>
      </c>
      <c r="N43" s="7"/>
      <c r="O43" s="7">
        <f t="shared" si="23"/>
        <v>137.9</v>
      </c>
      <c r="P43" s="7"/>
      <c r="Q43" s="7">
        <f t="shared" si="23"/>
        <v>150.69</v>
      </c>
    </row>
    <row r="44" spans="1:17" x14ac:dyDescent="0.25">
      <c r="A44" s="4"/>
      <c r="B44" s="4"/>
      <c r="C44" s="4" t="s">
        <v>13</v>
      </c>
      <c r="D44" s="4"/>
      <c r="E44" s="7">
        <f>ROUND((E35+E36+E37+E38+E39+E40+E41+E42)*0.01,2)</f>
        <v>27.58</v>
      </c>
      <c r="F44" s="3"/>
      <c r="G44" s="7">
        <f>ROUND((G35+G36+G37+G38+G39+G40+G41+G42)*0.01,2)</f>
        <v>0</v>
      </c>
      <c r="H44" s="3"/>
      <c r="I44" s="7">
        <f>ROUND((I35+I36+I37+I38+I39+I40+I41+I42)*0.01,2)</f>
        <v>27.58</v>
      </c>
      <c r="J44" s="3"/>
      <c r="K44" s="7">
        <f>ROUND((K35+K36+K37+K38+K39+K40+K41+K42)*0.01,2)</f>
        <v>30.14</v>
      </c>
      <c r="L44" s="3"/>
      <c r="M44" s="7">
        <f>ROUND((M35+M36+M37+M38+M39+M40+M41+M42)*0.01,2)</f>
        <v>0</v>
      </c>
      <c r="N44" s="3"/>
      <c r="O44" s="7">
        <f>ROUND((O35+O36+O37+O38+O39+O40+O41+O42)*0.01,2)</f>
        <v>27.58</v>
      </c>
      <c r="P44" s="3"/>
      <c r="Q44" s="7">
        <f>ROUND((Q35+Q36+Q37+Q38+Q39+Q40+Q41+Q42)*0.01,2)</f>
        <v>30.14</v>
      </c>
    </row>
    <row r="45" spans="1:17" ht="30" x14ac:dyDescent="0.25">
      <c r="A45" s="4"/>
      <c r="B45" s="4"/>
      <c r="C45" s="6" t="s">
        <v>14</v>
      </c>
      <c r="D45" s="4"/>
      <c r="E45" s="11">
        <f>ROUND((E35+E36+E37+E38+E39+E40+E41+E43+E44+E42)*0.302,2)</f>
        <v>882.92</v>
      </c>
      <c r="F45" s="11"/>
      <c r="G45" s="11">
        <f t="shared" ref="G45:Q45" si="24">ROUND((G35+G36+G37+G38+G39+G40+G41+G43+G44+G42)*0.302,2)</f>
        <v>0</v>
      </c>
      <c r="H45" s="11"/>
      <c r="I45" s="11">
        <f t="shared" si="24"/>
        <v>882.92</v>
      </c>
      <c r="J45" s="11"/>
      <c r="K45" s="11">
        <f t="shared" si="24"/>
        <v>964.76</v>
      </c>
      <c r="L45" s="11"/>
      <c r="M45" s="11">
        <f t="shared" si="24"/>
        <v>0</v>
      </c>
      <c r="N45" s="11"/>
      <c r="O45" s="11">
        <f t="shared" si="24"/>
        <v>882.92</v>
      </c>
      <c r="P45" s="11"/>
      <c r="Q45" s="11">
        <f t="shared" si="24"/>
        <v>964.76</v>
      </c>
    </row>
    <row r="46" spans="1:17" ht="55.5" customHeight="1" x14ac:dyDescent="0.25">
      <c r="A46" s="4"/>
      <c r="B46" s="4"/>
      <c r="C46" s="6" t="s">
        <v>22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0" t="s">
        <v>15</v>
      </c>
      <c r="D47" s="4"/>
      <c r="E47" s="7">
        <f>E35+E36+E37+E38+E39+E40+E41+E43+E44+E45+E42</f>
        <v>3806.4900000000002</v>
      </c>
      <c r="F47" s="7"/>
      <c r="G47" s="7">
        <f t="shared" ref="G47:Q47" si="25">G35+G36+G37+G38+G39+G40+G41+G43+G44+G45+G42</f>
        <v>0</v>
      </c>
      <c r="H47" s="7"/>
      <c r="I47" s="7">
        <f t="shared" si="25"/>
        <v>3806.4900000000002</v>
      </c>
      <c r="J47" s="7"/>
      <c r="K47" s="7">
        <f t="shared" si="25"/>
        <v>4159.33</v>
      </c>
      <c r="L47" s="7"/>
      <c r="M47" s="7">
        <f t="shared" si="25"/>
        <v>0</v>
      </c>
      <c r="N47" s="7"/>
      <c r="O47" s="7">
        <f t="shared" si="25"/>
        <v>3806.4900000000002</v>
      </c>
      <c r="P47" s="7"/>
      <c r="Q47" s="7">
        <f t="shared" si="25"/>
        <v>4159.33</v>
      </c>
    </row>
    <row r="48" spans="1:17" x14ac:dyDescent="0.25">
      <c r="A48" s="4"/>
      <c r="B48" s="4"/>
      <c r="C48" s="10" t="s">
        <v>16</v>
      </c>
      <c r="D48" s="4"/>
      <c r="E48" s="7">
        <f>ROUND(E47*12,2)</f>
        <v>45677.88</v>
      </c>
      <c r="F48" s="5"/>
      <c r="G48" s="7">
        <f>ROUND(G47*12,2)</f>
        <v>0</v>
      </c>
      <c r="H48" s="4"/>
      <c r="I48" s="7">
        <f>ROUND(I47*12,2)</f>
        <v>45677.88</v>
      </c>
      <c r="J48" s="17"/>
      <c r="K48" s="7">
        <f>ROUND(K47*12,2)</f>
        <v>49911.96</v>
      </c>
      <c r="L48" s="17"/>
      <c r="M48" s="15">
        <f>ROUND(M47*12,2)</f>
        <v>0</v>
      </c>
      <c r="N48" s="17"/>
      <c r="O48" s="15">
        <f>ROUND(O47*12,2)</f>
        <v>45677.88</v>
      </c>
      <c r="P48" s="17"/>
      <c r="Q48" s="7">
        <f>ROUND(Q47*12,2)</f>
        <v>49911.96</v>
      </c>
    </row>
    <row r="49" spans="1:17" ht="65.25" customHeight="1" x14ac:dyDescent="0.25">
      <c r="A49" s="3">
        <v>4</v>
      </c>
      <c r="B49" s="6" t="s">
        <v>18</v>
      </c>
      <c r="C49" s="6" t="s">
        <v>37</v>
      </c>
      <c r="D49" s="4"/>
      <c r="E49" s="7"/>
      <c r="F49" s="5"/>
      <c r="G49" s="7"/>
      <c r="H49" s="3"/>
      <c r="I49" s="7"/>
      <c r="J49" s="3">
        <v>1</v>
      </c>
      <c r="K49" s="7">
        <f>ROUND(8621*J49*1.043*1.0095,2)</f>
        <v>9077.1200000000008</v>
      </c>
      <c r="L49" s="17"/>
      <c r="M49" s="15"/>
      <c r="N49" s="17"/>
      <c r="O49" s="15"/>
      <c r="P49" s="3">
        <v>1</v>
      </c>
      <c r="Q49" s="7">
        <f>ROUND(8621*P49*1.043*1.0095,2)</f>
        <v>9077.1200000000008</v>
      </c>
    </row>
    <row r="50" spans="1:17" ht="45" x14ac:dyDescent="0.25">
      <c r="A50" s="4"/>
      <c r="B50" s="4"/>
      <c r="C50" s="6" t="s">
        <v>46</v>
      </c>
      <c r="D50" s="4"/>
      <c r="E50" s="7"/>
      <c r="F50" s="5"/>
      <c r="G50" s="7"/>
      <c r="H50" s="4"/>
      <c r="I50" s="7"/>
      <c r="J50" s="4"/>
      <c r="K50" s="7">
        <f>ROUND(K49*0.3,2)</f>
        <v>2723.14</v>
      </c>
      <c r="L50" s="17"/>
      <c r="M50" s="15"/>
      <c r="N50" s="17"/>
      <c r="O50" s="15"/>
      <c r="P50" s="4"/>
      <c r="Q50" s="7">
        <f>ROUND(Q49*0.3,2)</f>
        <v>2723.14</v>
      </c>
    </row>
    <row r="51" spans="1:17" ht="41.25" customHeight="1" x14ac:dyDescent="0.25">
      <c r="A51" s="4"/>
      <c r="B51" s="4"/>
      <c r="C51" s="6" t="s">
        <v>45</v>
      </c>
      <c r="D51" s="4"/>
      <c r="E51" s="7"/>
      <c r="F51" s="5"/>
      <c r="G51" s="7"/>
      <c r="H51" s="4"/>
      <c r="I51" s="7"/>
      <c r="J51" s="4"/>
      <c r="K51" s="7">
        <f>ROUND((K49+K50)*0.2,2)</f>
        <v>2360.0500000000002</v>
      </c>
      <c r="L51" s="17"/>
      <c r="M51" s="15"/>
      <c r="N51" s="17"/>
      <c r="O51" s="15"/>
      <c r="P51" s="4"/>
      <c r="Q51" s="7">
        <f>ROUND((Q49+Q50)*0.2,2)</f>
        <v>2360.0500000000002</v>
      </c>
    </row>
    <row r="52" spans="1:17" ht="60" x14ac:dyDescent="0.25">
      <c r="A52" s="4"/>
      <c r="B52" s="4"/>
      <c r="C52" s="6" t="s">
        <v>47</v>
      </c>
      <c r="D52" s="4"/>
      <c r="E52" s="7"/>
      <c r="F52" s="5"/>
      <c r="G52" s="7"/>
      <c r="H52" s="4"/>
      <c r="I52" s="7"/>
      <c r="J52" s="4"/>
      <c r="K52" s="7">
        <f>ROUND((K49+K50)*0.3,2)</f>
        <v>3540.08</v>
      </c>
      <c r="L52" s="17"/>
      <c r="M52" s="15"/>
      <c r="N52" s="17"/>
      <c r="O52" s="15"/>
      <c r="P52" s="4"/>
      <c r="Q52" s="7">
        <f>ROUND((Q49+Q50)*0.3,2)</f>
        <v>3540.08</v>
      </c>
    </row>
    <row r="53" spans="1:17" ht="50.25" customHeight="1" x14ac:dyDescent="0.25">
      <c r="A53" s="4"/>
      <c r="B53" s="4"/>
      <c r="C53" s="6" t="s">
        <v>56</v>
      </c>
      <c r="D53" s="4"/>
      <c r="E53" s="7"/>
      <c r="F53" s="5"/>
      <c r="G53" s="7"/>
      <c r="H53" s="4"/>
      <c r="I53" s="7"/>
      <c r="J53" s="4"/>
      <c r="K53" s="7">
        <f t="shared" ref="K53" si="26">ROUND(K49*0.25,2)</f>
        <v>2269.2800000000002</v>
      </c>
      <c r="L53" s="17"/>
      <c r="M53" s="15"/>
      <c r="N53" s="17"/>
      <c r="O53" s="15"/>
      <c r="P53" s="4"/>
      <c r="Q53" s="7">
        <f t="shared" ref="Q53" si="27">ROUND(Q49*0.25,2)</f>
        <v>2269.2800000000002</v>
      </c>
    </row>
    <row r="54" spans="1:17" ht="40.5" customHeight="1" x14ac:dyDescent="0.25">
      <c r="A54" s="4"/>
      <c r="B54" s="4"/>
      <c r="C54" s="6" t="s">
        <v>11</v>
      </c>
      <c r="D54" s="4"/>
      <c r="E54" s="7"/>
      <c r="F54" s="5"/>
      <c r="G54" s="7"/>
      <c r="H54" s="4"/>
      <c r="I54" s="7"/>
      <c r="J54" s="4"/>
      <c r="K54" s="7">
        <f>ROUND((K49+K50)*0.05,2)</f>
        <v>590.01</v>
      </c>
      <c r="L54" s="17"/>
      <c r="M54" s="15"/>
      <c r="N54" s="17"/>
      <c r="O54" s="15"/>
      <c r="P54" s="4"/>
      <c r="Q54" s="7">
        <f>ROUND((Q49+Q50)*0.05,2)</f>
        <v>590.01</v>
      </c>
    </row>
    <row r="55" spans="1:17" ht="45" x14ac:dyDescent="0.25">
      <c r="A55" s="4"/>
      <c r="B55" s="4"/>
      <c r="C55" s="6" t="s">
        <v>48</v>
      </c>
      <c r="D55" s="4"/>
      <c r="E55" s="7"/>
      <c r="F55" s="5"/>
      <c r="G55" s="7"/>
      <c r="H55" s="4"/>
      <c r="I55" s="7"/>
      <c r="J55" s="4"/>
      <c r="K55" s="7">
        <f>ROUND(K49*0.4,2)</f>
        <v>3630.85</v>
      </c>
      <c r="L55" s="17"/>
      <c r="M55" s="15"/>
      <c r="N55" s="17"/>
      <c r="O55" s="15"/>
      <c r="P55" s="4"/>
      <c r="Q55" s="7">
        <f>ROUND(Q49*0.2,2)</f>
        <v>1815.42</v>
      </c>
    </row>
    <row r="56" spans="1:17" ht="39.75" customHeight="1" x14ac:dyDescent="0.25">
      <c r="A56" s="4"/>
      <c r="B56" s="4"/>
      <c r="C56" s="6" t="s">
        <v>61</v>
      </c>
      <c r="D56" s="4"/>
      <c r="E56" s="7"/>
      <c r="F56" s="5"/>
      <c r="G56" s="7"/>
      <c r="H56" s="4"/>
      <c r="I56" s="7"/>
      <c r="J56" s="4"/>
      <c r="K56" s="7">
        <f>ROUND(K49*0.4,2)</f>
        <v>3630.85</v>
      </c>
      <c r="L56" s="17"/>
      <c r="M56" s="15"/>
      <c r="N56" s="17"/>
      <c r="O56" s="15"/>
      <c r="P56" s="4"/>
      <c r="Q56" s="7">
        <f>ROUND(Q49*0.4,2)</f>
        <v>3630.85</v>
      </c>
    </row>
    <row r="57" spans="1:17" x14ac:dyDescent="0.25">
      <c r="A57" s="4"/>
      <c r="B57" s="4"/>
      <c r="C57" s="4" t="s">
        <v>12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1391.07</v>
      </c>
      <c r="L57" s="17"/>
      <c r="M57" s="15"/>
      <c r="N57" s="17"/>
      <c r="O57" s="15"/>
      <c r="P57" s="4"/>
      <c r="Q57" s="7">
        <f>ROUND((Q49+Q50+Q51+Q52+Q53+Q54+Q55+Q56)*0.05,2)</f>
        <v>1300.3</v>
      </c>
    </row>
    <row r="58" spans="1:17" ht="24.75" customHeight="1" x14ac:dyDescent="0.25">
      <c r="A58" s="4"/>
      <c r="B58" s="4"/>
      <c r="C58" s="4" t="s">
        <v>13</v>
      </c>
      <c r="D58" s="4"/>
      <c r="E58" s="7"/>
      <c r="F58" s="5"/>
      <c r="G58" s="7"/>
      <c r="H58" s="4"/>
      <c r="I58" s="12"/>
      <c r="J58" s="4"/>
      <c r="K58" s="24">
        <f>ROUND((K49+K50+K51+K52+K53+K54+K55+K56)*0.01,2)</f>
        <v>278.20999999999998</v>
      </c>
      <c r="L58" s="17"/>
      <c r="M58" s="15"/>
      <c r="N58" s="17"/>
      <c r="O58" s="15"/>
      <c r="P58" s="4"/>
      <c r="Q58" s="24">
        <f>ROUND((Q49+Q50+Q51+Q52+Q53+Q54+Q55+Q56)*0.01,2)</f>
        <v>260.06</v>
      </c>
    </row>
    <row r="59" spans="1:17" ht="30" x14ac:dyDescent="0.25">
      <c r="A59" s="4"/>
      <c r="B59" s="4"/>
      <c r="C59" s="6" t="s">
        <v>14</v>
      </c>
      <c r="D59" s="4"/>
      <c r="E59" s="7"/>
      <c r="F59" s="5"/>
      <c r="G59" s="7"/>
      <c r="H59" s="4"/>
      <c r="I59" s="11"/>
      <c r="J59" s="4"/>
      <c r="K59" s="11">
        <f>ROUND((K49+K50+K51+K52+K53+K54+K55+K57+K58+K56)*0.302,2)</f>
        <v>8906.18</v>
      </c>
      <c r="L59" s="17"/>
      <c r="M59" s="15"/>
      <c r="N59" s="17"/>
      <c r="O59" s="15"/>
      <c r="P59" s="4"/>
      <c r="Q59" s="11">
        <f>ROUND((Q49+Q50+Q51+Q52+Q53+Q54+Q55+Q57+Q58+Q56)*0.302,2)</f>
        <v>8325.0300000000007</v>
      </c>
    </row>
    <row r="60" spans="1:17" ht="45" x14ac:dyDescent="0.25">
      <c r="A60" s="4"/>
      <c r="B60" s="4"/>
      <c r="C60" s="6" t="s">
        <v>23</v>
      </c>
      <c r="D60" s="4"/>
      <c r="E60" s="7"/>
      <c r="F60" s="5"/>
      <c r="G60" s="7"/>
      <c r="H60" s="4"/>
      <c r="I60" s="7"/>
      <c r="J60" s="4"/>
      <c r="K60" s="7"/>
      <c r="L60" s="17"/>
      <c r="M60" s="15"/>
      <c r="N60" s="17"/>
      <c r="O60" s="15"/>
      <c r="P60" s="4"/>
      <c r="Q60" s="7"/>
    </row>
    <row r="61" spans="1:17" x14ac:dyDescent="0.25">
      <c r="A61" s="4"/>
      <c r="B61" s="4"/>
      <c r="C61" s="10" t="s">
        <v>15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38396.839999999989</v>
      </c>
      <c r="L61" s="17"/>
      <c r="M61" s="15"/>
      <c r="N61" s="17"/>
      <c r="O61" s="15"/>
      <c r="P61" s="4"/>
      <c r="Q61" s="7">
        <f>Q49+Q50+Q51+Q52+Q53+Q54+Q55+Q57+Q58+Q59+Q56</f>
        <v>35891.339999999997</v>
      </c>
    </row>
    <row r="62" spans="1:17" x14ac:dyDescent="0.25">
      <c r="A62" s="4"/>
      <c r="B62" s="4"/>
      <c r="C62" s="10" t="s">
        <v>16</v>
      </c>
      <c r="D62" s="4"/>
      <c r="E62" s="7"/>
      <c r="F62" s="5"/>
      <c r="G62" s="7"/>
      <c r="H62" s="4"/>
      <c r="I62" s="7"/>
      <c r="J62" s="4"/>
      <c r="K62" s="7">
        <f>ROUND(K61*12,2)</f>
        <v>460762.08</v>
      </c>
      <c r="L62" s="17"/>
      <c r="M62" s="15"/>
      <c r="N62" s="17"/>
      <c r="O62" s="15"/>
      <c r="P62" s="4"/>
      <c r="Q62" s="7">
        <f>ROUND(Q61*12,2)</f>
        <v>430696.08</v>
      </c>
    </row>
    <row r="63" spans="1:17" ht="30" x14ac:dyDescent="0.25">
      <c r="A63" s="3">
        <v>5</v>
      </c>
      <c r="B63" s="6" t="s">
        <v>20</v>
      </c>
      <c r="C63" s="6" t="s">
        <v>10</v>
      </c>
      <c r="D63" s="20">
        <v>8.3000000000000004E-2</v>
      </c>
      <c r="E63" s="7">
        <f>ROUND(8216*D63*1.043*1.0095,2)</f>
        <v>718.01</v>
      </c>
      <c r="F63" s="20">
        <v>8.3000000000000004E-2</v>
      </c>
      <c r="G63" s="7">
        <f>ROUND(8216*F63*1.043*1.0095,2)</f>
        <v>718.01</v>
      </c>
      <c r="H63" s="20">
        <v>8.3000000000000004E-2</v>
      </c>
      <c r="I63" s="7">
        <f>ROUND(8216*H63*1.043*1.0095,2)</f>
        <v>718.01</v>
      </c>
      <c r="J63" s="20">
        <v>8.3000000000000004E-2</v>
      </c>
      <c r="K63" s="7">
        <f>ROUND(8216*J63*1.043*1.0095,2)</f>
        <v>718.01</v>
      </c>
      <c r="L63" s="20">
        <v>8.3000000000000004E-2</v>
      </c>
      <c r="M63" s="7">
        <f>ROUND(8216*L63*1.043*1.0095,2)</f>
        <v>718.01</v>
      </c>
      <c r="N63" s="21">
        <v>8.3000000000000004E-2</v>
      </c>
      <c r="O63" s="7">
        <f>ROUND(8216*N63*1.043*1.0095,2)</f>
        <v>718.01</v>
      </c>
      <c r="P63" s="20">
        <v>8.3000000000000004E-2</v>
      </c>
      <c r="Q63" s="7">
        <f>ROUND(8216*P63*1.043*1.0095,2)</f>
        <v>718.01</v>
      </c>
    </row>
    <row r="64" spans="1:17" ht="45" x14ac:dyDescent="0.25">
      <c r="A64" s="4"/>
      <c r="B64" s="4"/>
      <c r="C64" s="6" t="s">
        <v>50</v>
      </c>
      <c r="D64" s="4"/>
      <c r="E64" s="7">
        <f>ROUND(E63*0.3,2)</f>
        <v>215.4</v>
      </c>
      <c r="F64" s="5"/>
      <c r="G64" s="7">
        <f>ROUND(G63*0.3,2)</f>
        <v>215.4</v>
      </c>
      <c r="H64" s="4"/>
      <c r="I64" s="7">
        <f>ROUND(I63*0.3,2)</f>
        <v>215.4</v>
      </c>
      <c r="J64" s="17"/>
      <c r="K64" s="7">
        <f>ROUND(K63*0.3,2)</f>
        <v>215.4</v>
      </c>
      <c r="L64" s="17"/>
      <c r="M64" s="15">
        <f>ROUND(M63*0.3,2)</f>
        <v>215.4</v>
      </c>
      <c r="N64" s="17"/>
      <c r="O64" s="15">
        <f>ROUND(O63*0.3,2)</f>
        <v>215.4</v>
      </c>
      <c r="P64" s="17"/>
      <c r="Q64" s="7">
        <f>ROUND(Q63*0.3,2)</f>
        <v>215.4</v>
      </c>
    </row>
    <row r="65" spans="1:17" ht="45" x14ac:dyDescent="0.25">
      <c r="A65" s="4"/>
      <c r="B65" s="4"/>
      <c r="C65" s="6" t="s">
        <v>51</v>
      </c>
      <c r="D65" s="4"/>
      <c r="E65" s="7"/>
      <c r="F65" s="5"/>
      <c r="G65" s="7"/>
      <c r="H65" s="4"/>
      <c r="I65" s="7"/>
      <c r="J65" s="17"/>
      <c r="K65" s="7">
        <f>ROUND((K63+K64)*0.2,2)</f>
        <v>186.68</v>
      </c>
      <c r="L65" s="17"/>
      <c r="M65" s="15"/>
      <c r="N65" s="17"/>
      <c r="O65" s="15"/>
      <c r="P65" s="17"/>
      <c r="Q65" s="7">
        <f>ROUND((Q63+Q64)*0.2,2)</f>
        <v>186.68</v>
      </c>
    </row>
    <row r="66" spans="1:17" ht="60" x14ac:dyDescent="0.25">
      <c r="A66" s="4"/>
      <c r="B66" s="4"/>
      <c r="C66" s="6" t="s">
        <v>55</v>
      </c>
      <c r="D66" s="4"/>
      <c r="E66" s="7">
        <f>ROUND((E63+E64)*0.3,2)</f>
        <v>280.02</v>
      </c>
      <c r="F66" s="5"/>
      <c r="G66" s="7">
        <f>ROUND((G63+G64)*0.3,2)</f>
        <v>280.02</v>
      </c>
      <c r="H66" s="4"/>
      <c r="I66" s="7">
        <f>ROUND((I63+I64)*0.3,2)</f>
        <v>280.02</v>
      </c>
      <c r="J66" s="17"/>
      <c r="K66" s="7">
        <f>ROUND((K63+K64)*0.3,2)</f>
        <v>280.02</v>
      </c>
      <c r="L66" s="17"/>
      <c r="M66" s="15">
        <f>ROUND((M63+M64)*0.3,2)</f>
        <v>280.02</v>
      </c>
      <c r="N66" s="17"/>
      <c r="O66" s="15">
        <f>ROUND((O63+O64)*0.3,2)</f>
        <v>280.02</v>
      </c>
      <c r="P66" s="17"/>
      <c r="Q66" s="7">
        <f>ROUND((Q63+Q64)*0.3,2)</f>
        <v>280.02</v>
      </c>
    </row>
    <row r="67" spans="1:17" ht="60.75" customHeight="1" x14ac:dyDescent="0.25">
      <c r="A67" s="4"/>
      <c r="B67" s="4"/>
      <c r="C67" s="6" t="s">
        <v>57</v>
      </c>
      <c r="D67" s="4"/>
      <c r="E67" s="7">
        <f>ROUND(E63*0.25,2)</f>
        <v>179.5</v>
      </c>
      <c r="F67" s="7"/>
      <c r="G67" s="7">
        <f t="shared" ref="G67:O67" si="28">ROUND(G63*0.25,2)</f>
        <v>179.5</v>
      </c>
      <c r="H67" s="7"/>
      <c r="I67" s="7">
        <f t="shared" si="28"/>
        <v>179.5</v>
      </c>
      <c r="J67" s="7"/>
      <c r="K67" s="7">
        <f t="shared" ref="K67" si="29">ROUND(K63*0.25,2)</f>
        <v>179.5</v>
      </c>
      <c r="L67" s="7"/>
      <c r="M67" s="15">
        <f t="shared" si="28"/>
        <v>179.5</v>
      </c>
      <c r="N67" s="15"/>
      <c r="O67" s="15">
        <f t="shared" si="28"/>
        <v>179.5</v>
      </c>
      <c r="P67" s="7"/>
      <c r="Q67" s="7">
        <f t="shared" ref="Q67" si="30">ROUND(Q63*0.25,2)</f>
        <v>179.5</v>
      </c>
    </row>
    <row r="68" spans="1:17" ht="45.75" customHeight="1" x14ac:dyDescent="0.25">
      <c r="A68" s="4"/>
      <c r="B68" s="4"/>
      <c r="C68" s="6" t="s">
        <v>11</v>
      </c>
      <c r="D68" s="4"/>
      <c r="E68" s="7">
        <f>ROUND((E63+E64)*0.05,2)</f>
        <v>46.67</v>
      </c>
      <c r="F68" s="7"/>
      <c r="G68" s="7">
        <f t="shared" ref="G68:Q68" si="31">ROUND((G63+G64)*0.05,2)</f>
        <v>46.67</v>
      </c>
      <c r="H68" s="7"/>
      <c r="I68" s="7">
        <f t="shared" si="31"/>
        <v>46.67</v>
      </c>
      <c r="J68" s="7"/>
      <c r="K68" s="7">
        <f t="shared" si="31"/>
        <v>46.67</v>
      </c>
      <c r="L68" s="7"/>
      <c r="M68" s="7">
        <f t="shared" si="31"/>
        <v>46.67</v>
      </c>
      <c r="N68" s="7"/>
      <c r="O68" s="7">
        <f t="shared" si="31"/>
        <v>46.67</v>
      </c>
      <c r="P68" s="7"/>
      <c r="Q68" s="7">
        <f t="shared" si="31"/>
        <v>46.67</v>
      </c>
    </row>
    <row r="69" spans="1:17" ht="45" x14ac:dyDescent="0.25">
      <c r="A69" s="4"/>
      <c r="B69" s="4"/>
      <c r="C69" s="6" t="s">
        <v>52</v>
      </c>
      <c r="D69" s="4"/>
      <c r="E69" s="7">
        <f>ROUND(E63*0.4,2)</f>
        <v>287.2</v>
      </c>
      <c r="F69" s="7"/>
      <c r="G69" s="7">
        <f t="shared" ref="G69:Q69" si="32">ROUND(G63*0.4,2)</f>
        <v>287.2</v>
      </c>
      <c r="H69" s="7"/>
      <c r="I69" s="7">
        <f t="shared" si="32"/>
        <v>287.2</v>
      </c>
      <c r="J69" s="7"/>
      <c r="K69" s="7">
        <f t="shared" si="32"/>
        <v>287.2</v>
      </c>
      <c r="L69" s="7"/>
      <c r="M69" s="7">
        <f t="shared" si="32"/>
        <v>287.2</v>
      </c>
      <c r="N69" s="7"/>
      <c r="O69" s="7">
        <f t="shared" si="32"/>
        <v>287.2</v>
      </c>
      <c r="P69" s="7"/>
      <c r="Q69" s="7">
        <f t="shared" si="32"/>
        <v>287.2</v>
      </c>
    </row>
    <row r="70" spans="1:17" ht="52.5" customHeight="1" x14ac:dyDescent="0.25">
      <c r="A70" s="4"/>
      <c r="B70" s="4"/>
      <c r="C70" s="6" t="s">
        <v>62</v>
      </c>
      <c r="D70" s="4"/>
      <c r="E70" s="7">
        <f>ROUND(E63*0.4,2)</f>
        <v>287.2</v>
      </c>
      <c r="F70" s="7"/>
      <c r="G70" s="7">
        <f>ROUND(G63*0.4,2)</f>
        <v>287.2</v>
      </c>
      <c r="H70" s="7"/>
      <c r="I70" s="7">
        <f>ROUND(I63*0.4,2)</f>
        <v>287.2</v>
      </c>
      <c r="J70" s="7"/>
      <c r="K70" s="7">
        <f>ROUND(K63*0.4,2)</f>
        <v>287.2</v>
      </c>
      <c r="L70" s="7"/>
      <c r="M70" s="7">
        <f>ROUND(M63*0.4,2)</f>
        <v>287.2</v>
      </c>
      <c r="N70" s="7"/>
      <c r="O70" s="7">
        <f>ROUND(O63*0.4,2)</f>
        <v>287.2</v>
      </c>
      <c r="P70" s="7"/>
      <c r="Q70" s="7">
        <f>ROUND(Q63*0.4,2)</f>
        <v>287.2</v>
      </c>
    </row>
    <row r="71" spans="1:17" x14ac:dyDescent="0.25">
      <c r="A71" s="4"/>
      <c r="B71" s="4"/>
      <c r="C71" s="4" t="s">
        <v>12</v>
      </c>
      <c r="D71" s="4"/>
      <c r="E71" s="7">
        <f>ROUND((E63+E64+F65+E66+E67+E68+E69+E70)*0.05,2)</f>
        <v>100.7</v>
      </c>
      <c r="F71" s="7"/>
      <c r="G71" s="7">
        <f t="shared" ref="G71:Q71" si="33">ROUND((G63+G64+H65+G66+G67+G68+G69+G70)*0.05,2)</f>
        <v>100.7</v>
      </c>
      <c r="H71" s="7"/>
      <c r="I71" s="7">
        <f t="shared" si="33"/>
        <v>100.7</v>
      </c>
      <c r="J71" s="7"/>
      <c r="K71" s="7">
        <f t="shared" si="33"/>
        <v>100.7</v>
      </c>
      <c r="L71" s="7"/>
      <c r="M71" s="7">
        <f t="shared" si="33"/>
        <v>100.7</v>
      </c>
      <c r="N71" s="7"/>
      <c r="O71" s="7">
        <f t="shared" si="33"/>
        <v>100.7</v>
      </c>
      <c r="P71" s="7"/>
      <c r="Q71" s="7">
        <f t="shared" si="33"/>
        <v>100.7</v>
      </c>
    </row>
    <row r="72" spans="1:17" x14ac:dyDescent="0.25">
      <c r="A72" s="4"/>
      <c r="B72" s="4"/>
      <c r="C72" s="4" t="s">
        <v>13</v>
      </c>
      <c r="D72" s="4"/>
      <c r="E72" s="3">
        <f>ROUND((E63+E64+E65+E66+E67+E68+E69+E70)*0.01,2)</f>
        <v>20.14</v>
      </c>
      <c r="F72" s="3"/>
      <c r="G72" s="3">
        <f t="shared" ref="G72:Q72" si="34">ROUND((G63+G64+G65+G66+G67+G68+G69+G70)*0.01,2)</f>
        <v>20.14</v>
      </c>
      <c r="H72" s="3"/>
      <c r="I72" s="3">
        <f t="shared" si="34"/>
        <v>20.14</v>
      </c>
      <c r="J72" s="3"/>
      <c r="K72" s="3">
        <f t="shared" si="34"/>
        <v>22.01</v>
      </c>
      <c r="L72" s="3"/>
      <c r="M72" s="3">
        <f t="shared" si="34"/>
        <v>20.14</v>
      </c>
      <c r="N72" s="3"/>
      <c r="O72" s="3">
        <f t="shared" si="34"/>
        <v>20.14</v>
      </c>
      <c r="P72" s="3"/>
      <c r="Q72" s="3">
        <f t="shared" si="34"/>
        <v>22.01</v>
      </c>
    </row>
    <row r="73" spans="1:17" ht="30" x14ac:dyDescent="0.25">
      <c r="A73" s="4"/>
      <c r="B73" s="4"/>
      <c r="C73" s="6" t="s">
        <v>14</v>
      </c>
      <c r="D73" s="4"/>
      <c r="E73" s="11">
        <f>ROUND((E63+E64+E65+E66+E67+E68+E69+E71+E72+E70)*0.302,2)</f>
        <v>644.72</v>
      </c>
      <c r="F73" s="11"/>
      <c r="G73" s="11">
        <f t="shared" ref="G73:Q73" si="35">ROUND((G63+G64+G65+G66+G67+G68+G69+G71+G72+G70)*0.302,2)</f>
        <v>644.72</v>
      </c>
      <c r="H73" s="11"/>
      <c r="I73" s="11">
        <f t="shared" si="35"/>
        <v>644.72</v>
      </c>
      <c r="J73" s="11"/>
      <c r="K73" s="11">
        <f t="shared" si="35"/>
        <v>701.66</v>
      </c>
      <c r="L73" s="11"/>
      <c r="M73" s="11">
        <f t="shared" si="35"/>
        <v>644.72</v>
      </c>
      <c r="N73" s="11"/>
      <c r="O73" s="11">
        <f t="shared" si="35"/>
        <v>644.72</v>
      </c>
      <c r="P73" s="11"/>
      <c r="Q73" s="11">
        <f t="shared" si="35"/>
        <v>701.66</v>
      </c>
    </row>
    <row r="74" spans="1:17" ht="30" x14ac:dyDescent="0.25">
      <c r="A74" s="4"/>
      <c r="B74" s="4"/>
      <c r="C74" s="6" t="s">
        <v>24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0" t="s">
        <v>15</v>
      </c>
      <c r="D75" s="4"/>
      <c r="E75" s="7">
        <f>E63+E64+E65+E66+E67+E68+E69+E71+E72+E73+E70</f>
        <v>2779.56</v>
      </c>
      <c r="F75" s="7"/>
      <c r="G75" s="7">
        <f t="shared" ref="G75:Q75" si="36">G63+G64+G65+G66+G67+G68+G69+G71+G72+G73+G70</f>
        <v>2779.56</v>
      </c>
      <c r="H75" s="7"/>
      <c r="I75" s="7">
        <f t="shared" si="36"/>
        <v>2779.56</v>
      </c>
      <c r="J75" s="7"/>
      <c r="K75" s="7">
        <f t="shared" si="36"/>
        <v>3025.0499999999997</v>
      </c>
      <c r="L75" s="7"/>
      <c r="M75" s="7">
        <f t="shared" si="36"/>
        <v>2779.56</v>
      </c>
      <c r="N75" s="7"/>
      <c r="O75" s="7">
        <f t="shared" si="36"/>
        <v>2779.56</v>
      </c>
      <c r="P75" s="7"/>
      <c r="Q75" s="7">
        <f t="shared" si="36"/>
        <v>3025.0499999999997</v>
      </c>
    </row>
    <row r="76" spans="1:17" x14ac:dyDescent="0.25">
      <c r="A76" s="4"/>
      <c r="B76" s="4"/>
      <c r="C76" s="10" t="s">
        <v>16</v>
      </c>
      <c r="D76" s="4"/>
      <c r="E76" s="7">
        <f>ROUND(E75*12,2)</f>
        <v>33354.720000000001</v>
      </c>
      <c r="F76" s="5"/>
      <c r="G76" s="7">
        <f>ROUND(G75*12,2)</f>
        <v>33354.720000000001</v>
      </c>
      <c r="H76" s="4"/>
      <c r="I76" s="7">
        <f>ROUND(I75*12,2)</f>
        <v>33354.720000000001</v>
      </c>
      <c r="J76" s="17"/>
      <c r="K76" s="7">
        <f>ROUND(K75*12,2)</f>
        <v>36300.6</v>
      </c>
      <c r="L76" s="17"/>
      <c r="M76" s="15">
        <f>ROUND(M75*12,2)</f>
        <v>33354.720000000001</v>
      </c>
      <c r="N76" s="17"/>
      <c r="O76" s="15">
        <f>ROUND(O75*12,2)</f>
        <v>33354.720000000001</v>
      </c>
      <c r="P76" s="17"/>
      <c r="Q76" s="7">
        <f>ROUND(Q75*12,2)</f>
        <v>36300.6</v>
      </c>
    </row>
    <row r="77" spans="1:17" ht="30" x14ac:dyDescent="0.25">
      <c r="A77" s="3">
        <v>6</v>
      </c>
      <c r="B77" s="6" t="s">
        <v>7</v>
      </c>
      <c r="C77" s="6" t="s">
        <v>10</v>
      </c>
      <c r="D77" s="18">
        <v>1</v>
      </c>
      <c r="E77" s="7">
        <f>ROUND(5194*D77*1.043*1.0095,0)</f>
        <v>5469</v>
      </c>
      <c r="F77" s="18">
        <v>1.25</v>
      </c>
      <c r="G77" s="7">
        <f>ROUND(5194*F77*1.043*1.0095,0)</f>
        <v>6836</v>
      </c>
      <c r="H77" s="18">
        <v>1.25</v>
      </c>
      <c r="I77" s="7">
        <f>ROUND(5194*H77*1.043*1.0095,0)</f>
        <v>6836</v>
      </c>
      <c r="J77" s="18">
        <v>1.25</v>
      </c>
      <c r="K77" s="7">
        <f>ROUND(5194*J77*1.043*1.0095,0)</f>
        <v>6836</v>
      </c>
      <c r="L77" s="18">
        <v>1.5</v>
      </c>
      <c r="M77" s="7">
        <f>ROUND(5194*L77*1.043*1.0095,0)</f>
        <v>8203</v>
      </c>
      <c r="N77" s="18">
        <v>1.25</v>
      </c>
      <c r="O77" s="7">
        <f>ROUND(5194*N77*1.043*1.0095,0)</f>
        <v>6836</v>
      </c>
      <c r="P77" s="18">
        <v>1.25</v>
      </c>
      <c r="Q77" s="7">
        <f>ROUND(5194*P77*1.043*1.0095,0)</f>
        <v>6836</v>
      </c>
    </row>
    <row r="78" spans="1:17" ht="30" x14ac:dyDescent="0.25">
      <c r="A78" s="3"/>
      <c r="B78" s="6"/>
      <c r="C78" s="6" t="s">
        <v>53</v>
      </c>
      <c r="D78" s="18"/>
      <c r="E78" s="7"/>
      <c r="F78" s="18"/>
      <c r="G78" s="7"/>
      <c r="H78" s="18"/>
      <c r="I78" s="7"/>
      <c r="J78" s="18"/>
      <c r="K78" s="7">
        <f>ROUND(K77*0.2,2)</f>
        <v>1367.2</v>
      </c>
      <c r="L78" s="18"/>
      <c r="M78" s="15"/>
      <c r="N78" s="18"/>
      <c r="O78" s="15"/>
      <c r="P78" s="18"/>
      <c r="Q78" s="7">
        <f>ROUND(Q77*0.2,2)</f>
        <v>1367.2</v>
      </c>
    </row>
    <row r="79" spans="1:17" ht="45" x14ac:dyDescent="0.25">
      <c r="A79" s="4"/>
      <c r="B79" s="4"/>
      <c r="C79" s="6" t="s">
        <v>54</v>
      </c>
      <c r="D79" s="4"/>
      <c r="E79" s="7">
        <f>ROUND(E77*0.3,0)</f>
        <v>1641</v>
      </c>
      <c r="F79" s="4"/>
      <c r="G79" s="7">
        <f>ROUND(G77*0.3,0)</f>
        <v>2051</v>
      </c>
      <c r="H79" s="4"/>
      <c r="I79" s="7">
        <f>ROUND(I77*0.3,0)</f>
        <v>2051</v>
      </c>
      <c r="J79" s="17"/>
      <c r="K79" s="7">
        <f>ROUND(K77*0.3,0)</f>
        <v>2051</v>
      </c>
      <c r="L79" s="17"/>
      <c r="M79" s="15">
        <f>ROUND(M77*0.3,0)</f>
        <v>2461</v>
      </c>
      <c r="N79" s="17"/>
      <c r="O79" s="15">
        <f>ROUND(O77*0.3,0)</f>
        <v>2051</v>
      </c>
      <c r="P79" s="17"/>
      <c r="Q79" s="7">
        <f>ROUND(Q77*0.3,0)</f>
        <v>2051</v>
      </c>
    </row>
    <row r="80" spans="1:17" ht="45" x14ac:dyDescent="0.25">
      <c r="A80" s="4"/>
      <c r="B80" s="4"/>
      <c r="C80" s="6" t="s">
        <v>11</v>
      </c>
      <c r="D80" s="4"/>
      <c r="E80" s="7">
        <f>ROUND((E77)*0.05,2)</f>
        <v>273.45</v>
      </c>
      <c r="F80" s="7"/>
      <c r="G80" s="7">
        <f t="shared" ref="G80:Q80" si="37">ROUND((G77)*0.05,2)</f>
        <v>341.8</v>
      </c>
      <c r="H80" s="7"/>
      <c r="I80" s="7">
        <f t="shared" si="37"/>
        <v>341.8</v>
      </c>
      <c r="J80" s="7"/>
      <c r="K80" s="7">
        <f t="shared" si="37"/>
        <v>341.8</v>
      </c>
      <c r="L80" s="7"/>
      <c r="M80" s="7">
        <f t="shared" si="37"/>
        <v>410.15</v>
      </c>
      <c r="N80" s="7"/>
      <c r="O80" s="7">
        <f t="shared" si="37"/>
        <v>341.8</v>
      </c>
      <c r="P80" s="7"/>
      <c r="Q80" s="7">
        <f t="shared" si="37"/>
        <v>341.8</v>
      </c>
    </row>
    <row r="81" spans="1:17" ht="30.75" customHeight="1" x14ac:dyDescent="0.25">
      <c r="A81" s="4"/>
      <c r="B81" s="4"/>
      <c r="C81" s="6" t="s">
        <v>34</v>
      </c>
      <c r="D81" s="4"/>
      <c r="E81" s="7">
        <f>ROUND(E77*0.2,2)</f>
        <v>1093.8</v>
      </c>
      <c r="F81" s="7"/>
      <c r="G81" s="7">
        <f t="shared" ref="G81:Q81" si="38">ROUND(G77*0.2,2)</f>
        <v>1367.2</v>
      </c>
      <c r="H81" s="7"/>
      <c r="I81" s="7">
        <f t="shared" si="38"/>
        <v>1367.2</v>
      </c>
      <c r="J81" s="7"/>
      <c r="K81" s="7">
        <f t="shared" si="38"/>
        <v>1367.2</v>
      </c>
      <c r="L81" s="7"/>
      <c r="M81" s="7">
        <f t="shared" si="38"/>
        <v>1640.6</v>
      </c>
      <c r="N81" s="7"/>
      <c r="O81" s="7">
        <f t="shared" si="38"/>
        <v>1367.2</v>
      </c>
      <c r="P81" s="7"/>
      <c r="Q81" s="7">
        <f t="shared" si="38"/>
        <v>1367.2</v>
      </c>
    </row>
    <row r="82" spans="1:17" x14ac:dyDescent="0.25">
      <c r="A82" s="4"/>
      <c r="B82" s="4"/>
      <c r="C82" s="4" t="s">
        <v>12</v>
      </c>
      <c r="D82" s="4"/>
      <c r="E82" s="7">
        <f>ROUND((E77+E78+E79+E80+E81)*0.05,0)</f>
        <v>424</v>
      </c>
      <c r="F82" s="7"/>
      <c r="G82" s="7">
        <f t="shared" ref="G82:Q82" si="39">ROUND((G77+G78+G79+G80+G81)*0.05,0)</f>
        <v>530</v>
      </c>
      <c r="H82" s="7"/>
      <c r="I82" s="7">
        <f t="shared" si="39"/>
        <v>530</v>
      </c>
      <c r="J82" s="7"/>
      <c r="K82" s="7">
        <f t="shared" si="39"/>
        <v>598</v>
      </c>
      <c r="L82" s="7"/>
      <c r="M82" s="7">
        <f t="shared" si="39"/>
        <v>636</v>
      </c>
      <c r="N82" s="7"/>
      <c r="O82" s="7">
        <f t="shared" si="39"/>
        <v>530</v>
      </c>
      <c r="P82" s="7"/>
      <c r="Q82" s="7">
        <f t="shared" si="39"/>
        <v>598</v>
      </c>
    </row>
    <row r="83" spans="1:17" x14ac:dyDescent="0.25">
      <c r="A83" s="4"/>
      <c r="B83" s="4"/>
      <c r="C83" s="4" t="s">
        <v>13</v>
      </c>
      <c r="D83" s="4"/>
      <c r="E83" s="7">
        <f>ROUND((E77+E78+E79+E80+E81)*0.01,2)</f>
        <v>84.77</v>
      </c>
      <c r="F83" s="7"/>
      <c r="G83" s="7">
        <f t="shared" ref="G83:Q83" si="40">ROUND((G77+G78+G79+G80+G81)*0.01,2)</f>
        <v>105.96</v>
      </c>
      <c r="H83" s="7"/>
      <c r="I83" s="7">
        <f t="shared" si="40"/>
        <v>105.96</v>
      </c>
      <c r="J83" s="7"/>
      <c r="K83" s="7">
        <f t="shared" si="40"/>
        <v>119.63</v>
      </c>
      <c r="L83" s="7"/>
      <c r="M83" s="7">
        <f t="shared" si="40"/>
        <v>127.15</v>
      </c>
      <c r="N83" s="7"/>
      <c r="O83" s="7">
        <f t="shared" si="40"/>
        <v>105.96</v>
      </c>
      <c r="P83" s="7"/>
      <c r="Q83" s="7">
        <f t="shared" si="40"/>
        <v>119.63</v>
      </c>
    </row>
    <row r="84" spans="1:17" x14ac:dyDescent="0.25">
      <c r="A84" s="4"/>
      <c r="B84" s="4"/>
      <c r="C84" s="4" t="s">
        <v>32</v>
      </c>
      <c r="D84" s="4"/>
      <c r="E84" s="7">
        <f>ROUND((11280-(E77+E78+E79+E80+E82+E81)/D77)*D77,2)</f>
        <v>2378.75</v>
      </c>
      <c r="F84" s="7"/>
      <c r="G84" s="7">
        <f>ROUND((11280-(G77+G78+G79+G80+G82+G81)/F77)*F77,2)</f>
        <v>2974</v>
      </c>
      <c r="H84" s="7"/>
      <c r="I84" s="7">
        <f>ROUND((11280-(I77+I78+I79+I80+I82+I81)/H77)*H77,2)</f>
        <v>2974</v>
      </c>
      <c r="J84" s="7"/>
      <c r="K84" s="7">
        <f>ROUND((11280-(K77+K78+K79+K80+K82+K81)/J77)*J77,2)</f>
        <v>1538.8</v>
      </c>
      <c r="L84" s="7"/>
      <c r="M84" s="7">
        <f>ROUND((11280-(M77+M78+M79+M80+M82+M81)/L77)*L77,2)</f>
        <v>3569.25</v>
      </c>
      <c r="N84" s="7"/>
      <c r="O84" s="7">
        <f>ROUND((11280-(O77+O78+O79+O80+O82+O81)/N77)*N77,2)</f>
        <v>2974</v>
      </c>
      <c r="P84" s="7"/>
      <c r="Q84" s="7">
        <f>ROUND((11280-(Q77+Q78+Q79+Q80+Q82+Q81)/P77)*P77,2)</f>
        <v>1538.8</v>
      </c>
    </row>
    <row r="85" spans="1:17" x14ac:dyDescent="0.25">
      <c r="A85" s="4"/>
      <c r="B85" s="4"/>
      <c r="C85" s="4" t="s">
        <v>33</v>
      </c>
      <c r="D85" s="4"/>
      <c r="E85" s="7">
        <f>ROUND(11280/29.3*28*D77/365*28,2)</f>
        <v>826.92</v>
      </c>
      <c r="F85" s="7"/>
      <c r="G85" s="7">
        <f>ROUND(11280/29.3*28*F77/365*28,2)</f>
        <v>1033.6500000000001</v>
      </c>
      <c r="H85" s="7"/>
      <c r="I85" s="7">
        <f>ROUND(11280/29.3*28*H77/365*28,2)</f>
        <v>1033.6500000000001</v>
      </c>
      <c r="J85" s="7"/>
      <c r="K85" s="7">
        <f>ROUND(11280/29.3*28*J77/365*28,2)</f>
        <v>1033.6500000000001</v>
      </c>
      <c r="L85" s="7"/>
      <c r="M85" s="7">
        <f>ROUND(11280/29.3*28*L77/365*28,2)</f>
        <v>1240.3800000000001</v>
      </c>
      <c r="N85" s="7"/>
      <c r="O85" s="7">
        <f>ROUND(11280/29.3*28*N77/365*28,2)</f>
        <v>1033.6500000000001</v>
      </c>
      <c r="P85" s="7"/>
      <c r="Q85" s="7">
        <f>ROUND(11280/29.3*28*P77/365*28,2)</f>
        <v>1033.6500000000001</v>
      </c>
    </row>
    <row r="86" spans="1:17" ht="30" x14ac:dyDescent="0.25">
      <c r="A86" s="4"/>
      <c r="B86" s="4"/>
      <c r="C86" s="6" t="s">
        <v>14</v>
      </c>
      <c r="D86" s="4"/>
      <c r="E86" s="7">
        <f>ROUND((E77+E78+E79+E80+E82+E83+E84+E85+E81)*0.302,0)</f>
        <v>3682</v>
      </c>
      <c r="F86" s="7"/>
      <c r="G86" s="7">
        <f t="shared" ref="G86:Q86" si="41">ROUND((G77+G78+G79+G80+G82+G83+G84+G85+G81)*0.302,0)</f>
        <v>4602</v>
      </c>
      <c r="H86" s="7"/>
      <c r="I86" s="7">
        <f t="shared" si="41"/>
        <v>4602</v>
      </c>
      <c r="J86" s="7"/>
      <c r="K86" s="7">
        <f t="shared" si="41"/>
        <v>4606</v>
      </c>
      <c r="L86" s="7"/>
      <c r="M86" s="7">
        <f t="shared" si="41"/>
        <v>5523</v>
      </c>
      <c r="N86" s="7"/>
      <c r="O86" s="7">
        <f t="shared" si="41"/>
        <v>4602</v>
      </c>
      <c r="P86" s="7"/>
      <c r="Q86" s="7">
        <f t="shared" si="41"/>
        <v>4606</v>
      </c>
    </row>
    <row r="87" spans="1:17" ht="30" x14ac:dyDescent="0.25">
      <c r="A87" s="4"/>
      <c r="B87" s="4"/>
      <c r="C87" s="6" t="s">
        <v>25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0" t="s">
        <v>15</v>
      </c>
      <c r="D88" s="4"/>
      <c r="E88" s="7">
        <f>E77+E78+E79+E80+E82+E83+E86+E84+E85+E81</f>
        <v>15873.69</v>
      </c>
      <c r="F88" s="7"/>
      <c r="G88" s="7">
        <f t="shared" ref="G88:Q88" si="42">G77+G78+G79+G80+G82+G83+G86+G84+G85+G81</f>
        <v>19841.61</v>
      </c>
      <c r="H88" s="7"/>
      <c r="I88" s="7">
        <f t="shared" si="42"/>
        <v>19841.61</v>
      </c>
      <c r="J88" s="7"/>
      <c r="K88" s="7">
        <f t="shared" si="42"/>
        <v>19859.280000000002</v>
      </c>
      <c r="L88" s="7"/>
      <c r="M88" s="7">
        <f t="shared" si="42"/>
        <v>23810.53</v>
      </c>
      <c r="N88" s="7"/>
      <c r="O88" s="7">
        <f t="shared" si="42"/>
        <v>19841.61</v>
      </c>
      <c r="P88" s="7"/>
      <c r="Q88" s="7">
        <f t="shared" si="42"/>
        <v>19859.280000000002</v>
      </c>
    </row>
    <row r="89" spans="1:17" x14ac:dyDescent="0.25">
      <c r="A89" s="4"/>
      <c r="B89" s="4"/>
      <c r="C89" s="10" t="s">
        <v>16</v>
      </c>
      <c r="D89" s="4"/>
      <c r="E89" s="7">
        <f>ROUND(E88*12,0)</f>
        <v>190484</v>
      </c>
      <c r="F89" s="4"/>
      <c r="G89" s="7">
        <f>ROUND(G88*12,0)</f>
        <v>238099</v>
      </c>
      <c r="H89" s="4"/>
      <c r="I89" s="7">
        <f>ROUND(I88*12,0)</f>
        <v>238099</v>
      </c>
      <c r="J89" s="17"/>
      <c r="K89" s="7">
        <f>ROUND(K88*12,0)</f>
        <v>238311</v>
      </c>
      <c r="L89" s="17"/>
      <c r="M89" s="15">
        <f>ROUND(M88*12,0)</f>
        <v>285726</v>
      </c>
      <c r="N89" s="17"/>
      <c r="O89" s="15">
        <f>ROUND(O88*12,0)</f>
        <v>238099</v>
      </c>
      <c r="P89" s="17"/>
      <c r="Q89" s="7">
        <f>ROUND(Q88*12,0)</f>
        <v>238311</v>
      </c>
    </row>
    <row r="90" spans="1:17" ht="45.75" customHeight="1" x14ac:dyDescent="0.25">
      <c r="A90" s="3">
        <v>7</v>
      </c>
      <c r="B90" s="6" t="s">
        <v>36</v>
      </c>
      <c r="C90" s="6" t="s">
        <v>37</v>
      </c>
      <c r="D90" s="18">
        <v>1</v>
      </c>
      <c r="E90" s="7">
        <f>ROUND(3880*D90*1.043*1.0095,0)</f>
        <v>4085</v>
      </c>
      <c r="F90" s="18">
        <v>1</v>
      </c>
      <c r="G90" s="7">
        <f>ROUND(3880*F90*1.043*1.0095,0)</f>
        <v>4085</v>
      </c>
      <c r="H90" s="18">
        <v>1</v>
      </c>
      <c r="I90" s="7">
        <f>ROUND(3880*H90*1.043*1.0095,0)</f>
        <v>4085</v>
      </c>
      <c r="J90" s="18">
        <v>1</v>
      </c>
      <c r="K90" s="7">
        <f>ROUND(3880*J90*1.043*1.0095,0)</f>
        <v>4085</v>
      </c>
      <c r="L90" s="18">
        <v>1</v>
      </c>
      <c r="M90" s="7">
        <f>ROUND(3880*L90*1.043*1.0095,0)</f>
        <v>4085</v>
      </c>
      <c r="N90" s="18">
        <v>1</v>
      </c>
      <c r="O90" s="7">
        <f>ROUND(3880*N90*1.043*1.0095,0)</f>
        <v>4085</v>
      </c>
      <c r="P90" s="18">
        <v>1</v>
      </c>
      <c r="Q90" s="7">
        <f>ROUND(3880*P90*1.043*1.0095,0)</f>
        <v>4085</v>
      </c>
    </row>
    <row r="91" spans="1:17" ht="45" x14ac:dyDescent="0.25">
      <c r="A91" s="4"/>
      <c r="B91" s="4"/>
      <c r="C91" s="6" t="s">
        <v>11</v>
      </c>
      <c r="D91" s="4"/>
      <c r="E91" s="7">
        <f>ROUND((E90)*0.05,2)</f>
        <v>204.25</v>
      </c>
      <c r="F91" s="7"/>
      <c r="G91" s="7">
        <f t="shared" ref="G91:Q91" si="43">ROUND((G90)*0.05,2)</f>
        <v>204.25</v>
      </c>
      <c r="H91" s="7"/>
      <c r="I91" s="7">
        <f t="shared" si="43"/>
        <v>204.25</v>
      </c>
      <c r="J91" s="7"/>
      <c r="K91" s="7">
        <f t="shared" si="43"/>
        <v>204.25</v>
      </c>
      <c r="L91" s="7"/>
      <c r="M91" s="7">
        <f t="shared" si="43"/>
        <v>204.25</v>
      </c>
      <c r="N91" s="7"/>
      <c r="O91" s="7">
        <f t="shared" si="43"/>
        <v>204.25</v>
      </c>
      <c r="P91" s="7"/>
      <c r="Q91" s="7">
        <f t="shared" si="43"/>
        <v>204.25</v>
      </c>
    </row>
    <row r="92" spans="1:17" ht="30.75" customHeight="1" x14ac:dyDescent="0.25">
      <c r="A92" s="4"/>
      <c r="B92" s="4"/>
      <c r="C92" s="6" t="s">
        <v>38</v>
      </c>
      <c r="D92" s="4"/>
      <c r="E92" s="7">
        <f>ROUND(E90*0.2,2)</f>
        <v>817</v>
      </c>
      <c r="F92" s="7"/>
      <c r="G92" s="7">
        <f t="shared" ref="G92:Q92" si="44">ROUND(G90*0.2,2)</f>
        <v>817</v>
      </c>
      <c r="H92" s="7"/>
      <c r="I92" s="7">
        <f t="shared" si="44"/>
        <v>817</v>
      </c>
      <c r="J92" s="7"/>
      <c r="K92" s="7">
        <f t="shared" si="44"/>
        <v>817</v>
      </c>
      <c r="L92" s="7"/>
      <c r="M92" s="7">
        <f t="shared" si="44"/>
        <v>817</v>
      </c>
      <c r="N92" s="7"/>
      <c r="O92" s="7">
        <f t="shared" si="44"/>
        <v>817</v>
      </c>
      <c r="P92" s="7"/>
      <c r="Q92" s="7">
        <f t="shared" si="44"/>
        <v>817</v>
      </c>
    </row>
    <row r="93" spans="1:17" x14ac:dyDescent="0.25">
      <c r="A93" s="4"/>
      <c r="B93" s="4"/>
      <c r="C93" s="4" t="s">
        <v>12</v>
      </c>
      <c r="D93" s="4"/>
      <c r="E93" s="7">
        <f>ROUND((E90+E91+E92)*0.05,0)</f>
        <v>255</v>
      </c>
      <c r="F93" s="7"/>
      <c r="G93" s="7">
        <f t="shared" ref="G93:Q93" si="45">ROUND((G90+G91+G92)*0.05,0)</f>
        <v>255</v>
      </c>
      <c r="H93" s="7"/>
      <c r="I93" s="7">
        <f t="shared" si="45"/>
        <v>255</v>
      </c>
      <c r="J93" s="7"/>
      <c r="K93" s="7">
        <f t="shared" si="45"/>
        <v>255</v>
      </c>
      <c r="L93" s="7"/>
      <c r="M93" s="7">
        <f t="shared" si="45"/>
        <v>255</v>
      </c>
      <c r="N93" s="7"/>
      <c r="O93" s="7">
        <f t="shared" si="45"/>
        <v>255</v>
      </c>
      <c r="P93" s="7"/>
      <c r="Q93" s="7">
        <f t="shared" si="45"/>
        <v>255</v>
      </c>
    </row>
    <row r="94" spans="1:17" x14ac:dyDescent="0.25">
      <c r="A94" s="4"/>
      <c r="B94" s="4"/>
      <c r="C94" s="4" t="s">
        <v>13</v>
      </c>
      <c r="D94" s="4"/>
      <c r="E94" s="7">
        <f>ROUND((E90+E91+E92)*0.01,2)</f>
        <v>51.06</v>
      </c>
      <c r="F94" s="7"/>
      <c r="G94" s="7">
        <f t="shared" ref="G94:Q94" si="46">ROUND((G90+G91+G92)*0.01,2)</f>
        <v>51.06</v>
      </c>
      <c r="H94" s="7"/>
      <c r="I94" s="7">
        <f t="shared" si="46"/>
        <v>51.06</v>
      </c>
      <c r="J94" s="7"/>
      <c r="K94" s="7">
        <f t="shared" si="46"/>
        <v>51.06</v>
      </c>
      <c r="L94" s="7"/>
      <c r="M94" s="7">
        <f t="shared" si="46"/>
        <v>51.06</v>
      </c>
      <c r="N94" s="7"/>
      <c r="O94" s="7">
        <f t="shared" si="46"/>
        <v>51.06</v>
      </c>
      <c r="P94" s="7"/>
      <c r="Q94" s="7">
        <f t="shared" si="46"/>
        <v>51.06</v>
      </c>
    </row>
    <row r="95" spans="1:17" x14ac:dyDescent="0.25">
      <c r="A95" s="4"/>
      <c r="B95" s="4"/>
      <c r="C95" s="4" t="s">
        <v>32</v>
      </c>
      <c r="D95" s="4"/>
      <c r="E95" s="7">
        <f>ROUND((11280-(E90+E91+E93+E92)/D90)*D90,2)</f>
        <v>5918.75</v>
      </c>
      <c r="F95" s="7"/>
      <c r="G95" s="7">
        <f>ROUND((11280-(G90+G91+G93+G92)/F90)*F90,2)</f>
        <v>5918.75</v>
      </c>
      <c r="H95" s="7"/>
      <c r="I95" s="7">
        <f>ROUND((11280-(I90+I91+I93+I92)/H90)*H90,2)</f>
        <v>5918.75</v>
      </c>
      <c r="J95" s="7"/>
      <c r="K95" s="7">
        <f>ROUND((11280-(K90+K91+K93+K92)/J90)*J90,2)</f>
        <v>5918.75</v>
      </c>
      <c r="L95" s="7"/>
      <c r="M95" s="7">
        <f>ROUND((11280-(M90+M91+M93+M92)/L90)*L90,2)</f>
        <v>5918.75</v>
      </c>
      <c r="N95" s="7"/>
      <c r="O95" s="7">
        <f>ROUND((11280-(O90+O91+O93+O92)/N90)*N90,2)</f>
        <v>5918.75</v>
      </c>
      <c r="P95" s="7"/>
      <c r="Q95" s="7">
        <f>ROUND((11280-(Q90+Q91+Q93+Q92)/P90)*P90,2)</f>
        <v>5918.75</v>
      </c>
    </row>
    <row r="96" spans="1:17" x14ac:dyDescent="0.25">
      <c r="A96" s="4"/>
      <c r="B96" s="4"/>
      <c r="C96" s="4" t="s">
        <v>33</v>
      </c>
      <c r="D96" s="4"/>
      <c r="E96" s="7">
        <f>ROUND(11280/29.3*28*D90/365*28,2)</f>
        <v>826.92</v>
      </c>
      <c r="F96" s="7"/>
      <c r="G96" s="7">
        <f>ROUND(11280/29.3*28*F90/365*28,2)</f>
        <v>826.92</v>
      </c>
      <c r="H96" s="7"/>
      <c r="I96" s="7">
        <f>ROUND(11280/29.3*28*H90/365*28,2)</f>
        <v>826.92</v>
      </c>
      <c r="J96" s="7"/>
      <c r="K96" s="7">
        <f>ROUND(11280/29.3*28*J90/365*28,2)</f>
        <v>826.92</v>
      </c>
      <c r="L96" s="7"/>
      <c r="M96" s="7">
        <f>ROUND(11280/29.3*28*L90/365*28,2)</f>
        <v>826.92</v>
      </c>
      <c r="N96" s="7"/>
      <c r="O96" s="7">
        <f>ROUND(11280/29.3*28*N90/365*28,2)</f>
        <v>826.92</v>
      </c>
      <c r="P96" s="7"/>
      <c r="Q96" s="7">
        <f>ROUND(11280/29.3*28*P90/365*28,2)</f>
        <v>826.92</v>
      </c>
    </row>
    <row r="97" spans="1:19" ht="30" x14ac:dyDescent="0.25">
      <c r="A97" s="4"/>
      <c r="B97" s="4"/>
      <c r="C97" s="6" t="s">
        <v>14</v>
      </c>
      <c r="D97" s="4"/>
      <c r="E97" s="7">
        <f>ROUND((E90+E91+E93+E94+E95+E96+E92)*0.302,0)</f>
        <v>3672</v>
      </c>
      <c r="F97" s="7"/>
      <c r="G97" s="7">
        <f t="shared" ref="G97:Q97" si="47">ROUND((G90+G91+G93+G94+G95+G96+G92)*0.302,0)</f>
        <v>3672</v>
      </c>
      <c r="H97" s="7"/>
      <c r="I97" s="7">
        <f t="shared" si="47"/>
        <v>3672</v>
      </c>
      <c r="J97" s="7"/>
      <c r="K97" s="7">
        <f t="shared" si="47"/>
        <v>3672</v>
      </c>
      <c r="L97" s="7"/>
      <c r="M97" s="7">
        <f t="shared" si="47"/>
        <v>3672</v>
      </c>
      <c r="N97" s="7"/>
      <c r="O97" s="7">
        <f t="shared" si="47"/>
        <v>3672</v>
      </c>
      <c r="P97" s="7"/>
      <c r="Q97" s="7">
        <f t="shared" si="47"/>
        <v>3672</v>
      </c>
    </row>
    <row r="98" spans="1:19" ht="30" x14ac:dyDescent="0.25">
      <c r="A98" s="4"/>
      <c r="B98" s="4"/>
      <c r="C98" s="6" t="s">
        <v>39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0" t="s">
        <v>15</v>
      </c>
      <c r="D99" s="4"/>
      <c r="E99" s="7">
        <f>E90+E91+E93+E94+E97+E95+E96+E92</f>
        <v>15829.980000000001</v>
      </c>
      <c r="F99" s="7"/>
      <c r="G99" s="7">
        <f t="shared" ref="G99:Q99" si="48">G90+G91+G93+G94+G97+G95+G96+G92</f>
        <v>15829.980000000001</v>
      </c>
      <c r="H99" s="7"/>
      <c r="I99" s="7">
        <f t="shared" si="48"/>
        <v>15829.980000000001</v>
      </c>
      <c r="J99" s="7"/>
      <c r="K99" s="7">
        <f t="shared" si="48"/>
        <v>15829.980000000001</v>
      </c>
      <c r="L99" s="7"/>
      <c r="M99" s="7">
        <f t="shared" si="48"/>
        <v>15829.980000000001</v>
      </c>
      <c r="N99" s="7"/>
      <c r="O99" s="7">
        <f t="shared" si="48"/>
        <v>15829.980000000001</v>
      </c>
      <c r="P99" s="7"/>
      <c r="Q99" s="7">
        <f t="shared" si="48"/>
        <v>15829.980000000001</v>
      </c>
    </row>
    <row r="100" spans="1:19" x14ac:dyDescent="0.25">
      <c r="A100" s="4"/>
      <c r="B100" s="4"/>
      <c r="C100" s="10" t="s">
        <v>16</v>
      </c>
      <c r="D100" s="4"/>
      <c r="E100" s="7">
        <f>ROUND(E99*12,0)</f>
        <v>189960</v>
      </c>
      <c r="F100" s="7"/>
      <c r="G100" s="7">
        <f t="shared" ref="G100:Q100" si="49">ROUND(G99*12,0)</f>
        <v>189960</v>
      </c>
      <c r="H100" s="7"/>
      <c r="I100" s="7">
        <f t="shared" si="49"/>
        <v>189960</v>
      </c>
      <c r="J100" s="7"/>
      <c r="K100" s="7">
        <f t="shared" si="49"/>
        <v>189960</v>
      </c>
      <c r="L100" s="7"/>
      <c r="M100" s="7">
        <f t="shared" si="49"/>
        <v>189960</v>
      </c>
      <c r="N100" s="7"/>
      <c r="O100" s="7">
        <f t="shared" si="49"/>
        <v>189960</v>
      </c>
      <c r="P100" s="7"/>
      <c r="Q100" s="7">
        <f t="shared" si="49"/>
        <v>189960</v>
      </c>
    </row>
    <row r="101" spans="1:19" ht="19.5" customHeight="1" x14ac:dyDescent="0.25">
      <c r="A101" s="4"/>
      <c r="B101" s="63" t="s">
        <v>29</v>
      </c>
      <c r="C101" s="64"/>
      <c r="D101" s="4"/>
      <c r="E101" s="4"/>
      <c r="F101" s="4"/>
      <c r="G101" s="4"/>
      <c r="H101" s="4"/>
      <c r="I101" s="4"/>
      <c r="J101" s="4"/>
      <c r="K101" s="4"/>
      <c r="L101" s="4"/>
      <c r="M101" s="17"/>
      <c r="N101" s="17"/>
      <c r="O101" s="17"/>
      <c r="P101" s="4"/>
      <c r="Q101" s="4"/>
    </row>
    <row r="102" spans="1:19" ht="36.75" customHeight="1" x14ac:dyDescent="0.25">
      <c r="A102" s="4"/>
      <c r="B102" s="6"/>
      <c r="C102" s="6" t="s">
        <v>58</v>
      </c>
      <c r="D102" s="7"/>
      <c r="E102" s="7">
        <f>ROUND((E19+E34+E48+E62+E76+E89+E100)*0.192,2)</f>
        <v>212818.03</v>
      </c>
      <c r="F102" s="7"/>
      <c r="G102" s="7">
        <f t="shared" ref="G102:Q102" si="50">ROUND((G19+G34+G48+G62+G76+G89+G100)*0.192,2)</f>
        <v>224478.17</v>
      </c>
      <c r="H102" s="7"/>
      <c r="I102" s="7">
        <f t="shared" si="50"/>
        <v>233248.33</v>
      </c>
      <c r="J102" s="7"/>
      <c r="K102" s="7">
        <f t="shared" si="50"/>
        <v>396901.53</v>
      </c>
      <c r="L102" s="7"/>
      <c r="M102" s="7">
        <f t="shared" si="50"/>
        <v>285866.82</v>
      </c>
      <c r="N102" s="7"/>
      <c r="O102" s="7">
        <f t="shared" si="50"/>
        <v>285492.59000000003</v>
      </c>
      <c r="P102" s="7"/>
      <c r="Q102" s="7">
        <f t="shared" si="50"/>
        <v>430147.4</v>
      </c>
    </row>
    <row r="103" spans="1:19" ht="64.5" customHeight="1" x14ac:dyDescent="0.25">
      <c r="A103" s="4"/>
      <c r="B103" s="58" t="s">
        <v>31</v>
      </c>
      <c r="C103" s="62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60</v>
      </c>
      <c r="D104" s="7"/>
      <c r="E104" s="7">
        <f>ROUND((E19+E34+E48+E62+E76+E89+E100)*0.028,2)</f>
        <v>31035.96</v>
      </c>
      <c r="F104" s="7"/>
      <c r="G104" s="7">
        <f t="shared" ref="G104:Q104" si="51">ROUND((G19+G34+G48+G62+G76+G89+G100)*0.028,2)</f>
        <v>32736.400000000001</v>
      </c>
      <c r="H104" s="7"/>
      <c r="I104" s="7">
        <f t="shared" si="51"/>
        <v>34015.379999999997</v>
      </c>
      <c r="J104" s="7"/>
      <c r="K104" s="7">
        <f t="shared" si="51"/>
        <v>57881.47</v>
      </c>
      <c r="L104" s="7"/>
      <c r="M104" s="7">
        <f t="shared" si="51"/>
        <v>41688.910000000003</v>
      </c>
      <c r="N104" s="7"/>
      <c r="O104" s="7">
        <f t="shared" si="51"/>
        <v>41634.339999999997</v>
      </c>
      <c r="P104" s="7"/>
      <c r="Q104" s="7">
        <f t="shared" si="51"/>
        <v>62729.83</v>
      </c>
    </row>
    <row r="105" spans="1:19" ht="66.75" customHeight="1" x14ac:dyDescent="0.25">
      <c r="A105" s="4"/>
      <c r="B105" s="58" t="s">
        <v>35</v>
      </c>
      <c r="C105" s="6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59</v>
      </c>
      <c r="D106" s="7"/>
      <c r="E106" s="7">
        <f>ROUND((E19+E34+E48+E62+E76+E89+E100)*0.038,2)</f>
        <v>42120.24</v>
      </c>
      <c r="F106" s="7"/>
      <c r="G106" s="7">
        <f t="shared" ref="G106:Q106" si="52">ROUND((G19+G34+G48+G62+G76+G89+G100)*0.038,2)</f>
        <v>44427.97</v>
      </c>
      <c r="H106" s="7"/>
      <c r="I106" s="7">
        <f t="shared" si="52"/>
        <v>46163.73</v>
      </c>
      <c r="J106" s="7"/>
      <c r="K106" s="7">
        <f t="shared" si="52"/>
        <v>78553.429999999993</v>
      </c>
      <c r="L106" s="7"/>
      <c r="M106" s="7">
        <f t="shared" si="52"/>
        <v>56577.81</v>
      </c>
      <c r="N106" s="7"/>
      <c r="O106" s="7">
        <f t="shared" si="52"/>
        <v>56503.74</v>
      </c>
      <c r="P106" s="7"/>
      <c r="Q106" s="7">
        <f t="shared" si="52"/>
        <v>85133.34</v>
      </c>
    </row>
    <row r="107" spans="1:19" ht="68.25" customHeight="1" x14ac:dyDescent="0.25">
      <c r="A107" s="4"/>
      <c r="B107" s="58" t="s">
        <v>30</v>
      </c>
      <c r="C107" s="62"/>
      <c r="D107" s="4"/>
      <c r="E107" s="22">
        <f>E19+E34+E48+E62+E76+E89+E100+E102+E104+E106</f>
        <v>1394401.47</v>
      </c>
      <c r="F107" s="22"/>
      <c r="G107" s="22">
        <f t="shared" ref="G107:Q107" si="53">G19+G34+G48+G62+G76+G89+G100+G102+G104+G106</f>
        <v>1470799.7</v>
      </c>
      <c r="H107" s="22"/>
      <c r="I107" s="22">
        <f t="shared" si="53"/>
        <v>1528262.48</v>
      </c>
      <c r="J107" s="22"/>
      <c r="K107" s="22">
        <f t="shared" si="53"/>
        <v>2600531.9100000006</v>
      </c>
      <c r="L107" s="22"/>
      <c r="M107" s="22">
        <f t="shared" si="53"/>
        <v>1873023.22</v>
      </c>
      <c r="N107" s="22"/>
      <c r="O107" s="22">
        <f t="shared" si="53"/>
        <v>1870571.2300000002</v>
      </c>
      <c r="P107" s="22"/>
      <c r="Q107" s="22">
        <f t="shared" si="53"/>
        <v>2818361.61</v>
      </c>
    </row>
    <row r="108" spans="1:19" ht="22.5" customHeight="1" x14ac:dyDescent="0.25">
      <c r="A108" s="4"/>
      <c r="B108" s="69"/>
      <c r="C108" s="70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5"/>
      <c r="O108" s="7"/>
      <c r="P108" s="4"/>
      <c r="Q108" s="7"/>
    </row>
    <row r="109" spans="1:19" ht="35.25" customHeight="1" x14ac:dyDescent="0.25">
      <c r="A109" s="4"/>
      <c r="B109" s="58" t="s">
        <v>41</v>
      </c>
      <c r="C109" s="62"/>
      <c r="D109" s="25">
        <v>25</v>
      </c>
      <c r="E109" s="5">
        <f>ROUND(E107/D109,0)</f>
        <v>55776</v>
      </c>
      <c r="F109" s="25">
        <v>20</v>
      </c>
      <c r="G109" s="5">
        <f>ROUND(G107/F109,0)</f>
        <v>73540</v>
      </c>
      <c r="H109" s="25">
        <v>25</v>
      </c>
      <c r="I109" s="5">
        <f>ROUND(I107/H109,0)</f>
        <v>61130</v>
      </c>
      <c r="J109" s="25">
        <v>10</v>
      </c>
      <c r="K109" s="5">
        <f>ROUND(K107/J109,0)</f>
        <v>260053</v>
      </c>
      <c r="L109" s="25">
        <v>20</v>
      </c>
      <c r="M109" s="5">
        <f>ROUND(M107/L109,0)</f>
        <v>93651</v>
      </c>
      <c r="N109" s="26">
        <v>25</v>
      </c>
      <c r="O109" s="5">
        <f>ROUND(O107/N109,0)</f>
        <v>74823</v>
      </c>
      <c r="P109" s="26">
        <v>10</v>
      </c>
      <c r="Q109" s="5">
        <f>ROUND(Q107/P109,0)</f>
        <v>281836</v>
      </c>
      <c r="R109" s="27"/>
      <c r="S109" s="28"/>
    </row>
    <row r="110" spans="1:19" ht="46.5" customHeight="1" x14ac:dyDescent="0.25">
      <c r="A110" s="4"/>
      <c r="B110" s="58" t="s">
        <v>42</v>
      </c>
      <c r="C110" s="59"/>
      <c r="D110" s="4"/>
      <c r="E110" s="44">
        <v>55776</v>
      </c>
      <c r="F110" s="4"/>
      <c r="G110" s="44">
        <v>55776</v>
      </c>
      <c r="H110" s="4"/>
      <c r="I110" s="44">
        <v>55776</v>
      </c>
      <c r="J110" s="4"/>
      <c r="K110" s="44">
        <v>55776</v>
      </c>
      <c r="L110" s="4"/>
      <c r="M110" s="44">
        <v>55776</v>
      </c>
      <c r="N110" s="17"/>
      <c r="O110" s="44">
        <v>55776</v>
      </c>
      <c r="P110" s="4"/>
      <c r="Q110" s="44">
        <v>55776</v>
      </c>
    </row>
    <row r="111" spans="1:19" ht="84" customHeight="1" x14ac:dyDescent="0.25">
      <c r="A111" s="4"/>
      <c r="B111" s="60" t="s">
        <v>43</v>
      </c>
      <c r="C111" s="61"/>
      <c r="D111" s="4"/>
      <c r="E111" s="3">
        <f>ROUND(E109/E110,3)</f>
        <v>1</v>
      </c>
      <c r="F111" s="4"/>
      <c r="G111" s="3">
        <f>ROUND(G109/G110,3)</f>
        <v>1.3180000000000001</v>
      </c>
      <c r="H111" s="4"/>
      <c r="I111" s="3">
        <f>ROUND(I109/I110,3)</f>
        <v>1.0960000000000001</v>
      </c>
      <c r="J111" s="4"/>
      <c r="K111" s="3">
        <f>ROUND(K109/K110,3)</f>
        <v>4.6619999999999999</v>
      </c>
      <c r="L111" s="4"/>
      <c r="M111" s="3">
        <f>ROUND(M109/M110,3)</f>
        <v>1.679</v>
      </c>
      <c r="N111" s="17"/>
      <c r="O111" s="3">
        <f>ROUND(O109/O110,3)</f>
        <v>1.341</v>
      </c>
      <c r="P111" s="4"/>
      <c r="Q111" s="3">
        <f>ROUND(Q109/Q110,3)</f>
        <v>5.0529999999999999</v>
      </c>
    </row>
  </sheetData>
  <mergeCells count="20">
    <mergeCell ref="B109:C109"/>
    <mergeCell ref="B110:C110"/>
    <mergeCell ref="B111:C111"/>
    <mergeCell ref="N3:O3"/>
    <mergeCell ref="B101:C101"/>
    <mergeCell ref="B103:C103"/>
    <mergeCell ref="B105:C105"/>
    <mergeCell ref="B107:C107"/>
    <mergeCell ref="B108:C108"/>
    <mergeCell ref="A1:Q1"/>
    <mergeCell ref="A2:A4"/>
    <mergeCell ref="B2:B4"/>
    <mergeCell ref="C2:C4"/>
    <mergeCell ref="D2:Q2"/>
    <mergeCell ref="D3:E3"/>
    <mergeCell ref="F3:G3"/>
    <mergeCell ref="H3:I3"/>
    <mergeCell ref="J3:K3"/>
    <mergeCell ref="L3:M3"/>
    <mergeCell ref="P3:Q3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="69" zoomScaleNormal="81" zoomScaleSheetLayoutView="69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:Q2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19" customWidth="1"/>
    <col min="14" max="14" width="14.85546875" style="19" customWidth="1"/>
    <col min="15" max="15" width="15.7109375" style="19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46.5" customHeight="1" x14ac:dyDescent="0.25">
      <c r="A2" s="74" t="s">
        <v>2</v>
      </c>
      <c r="B2" s="74" t="s">
        <v>0</v>
      </c>
      <c r="C2" s="74" t="s">
        <v>1</v>
      </c>
      <c r="D2" s="71" t="s">
        <v>70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2" customFormat="1" ht="51" customHeight="1" x14ac:dyDescent="0.25">
      <c r="A3" s="75"/>
      <c r="B3" s="75"/>
      <c r="C3" s="75"/>
      <c r="D3" s="67" t="s">
        <v>40</v>
      </c>
      <c r="E3" s="67"/>
      <c r="F3" s="67" t="s">
        <v>26</v>
      </c>
      <c r="G3" s="67"/>
      <c r="H3" s="71" t="s">
        <v>19</v>
      </c>
      <c r="I3" s="73"/>
      <c r="J3" s="65" t="s">
        <v>63</v>
      </c>
      <c r="K3" s="66"/>
      <c r="L3" s="67" t="s">
        <v>8</v>
      </c>
      <c r="M3" s="67"/>
      <c r="N3" s="65" t="s">
        <v>9</v>
      </c>
      <c r="O3" s="66"/>
      <c r="P3" s="65" t="s">
        <v>64</v>
      </c>
      <c r="Q3" s="66"/>
    </row>
    <row r="4" spans="1:17" ht="48.75" customHeight="1" x14ac:dyDescent="0.25">
      <c r="A4" s="76"/>
      <c r="B4" s="76"/>
      <c r="C4" s="76"/>
      <c r="D4" s="56" t="s">
        <v>5</v>
      </c>
      <c r="E4" s="54" t="s">
        <v>6</v>
      </c>
      <c r="F4" s="56" t="s">
        <v>5</v>
      </c>
      <c r="G4" s="54" t="s">
        <v>6</v>
      </c>
      <c r="H4" s="56" t="s">
        <v>5</v>
      </c>
      <c r="I4" s="54" t="s">
        <v>6</v>
      </c>
      <c r="J4" s="56" t="s">
        <v>5</v>
      </c>
      <c r="K4" s="54" t="s">
        <v>6</v>
      </c>
      <c r="L4" s="56" t="s">
        <v>5</v>
      </c>
      <c r="M4" s="31" t="s">
        <v>6</v>
      </c>
      <c r="N4" s="13" t="s">
        <v>5</v>
      </c>
      <c r="O4" s="31" t="s">
        <v>6</v>
      </c>
      <c r="P4" s="54" t="s">
        <v>5</v>
      </c>
      <c r="Q4" s="54" t="s">
        <v>6</v>
      </c>
    </row>
    <row r="5" spans="1:17" ht="45" x14ac:dyDescent="0.25">
      <c r="A5" s="3">
        <v>1</v>
      </c>
      <c r="B5" s="4" t="s">
        <v>3</v>
      </c>
      <c r="C5" s="6" t="s">
        <v>37</v>
      </c>
      <c r="D5" s="7">
        <v>1.25</v>
      </c>
      <c r="E5" s="7">
        <f>ROUND(8216*D5*1.043*1.038*1.01,2)</f>
        <v>11229.84</v>
      </c>
      <c r="F5" s="7">
        <v>1.39</v>
      </c>
      <c r="G5" s="7">
        <f>ROUND(8216*F5*1.043*1.038*1.01,2)</f>
        <v>12487.58</v>
      </c>
      <c r="H5" s="7">
        <v>1.39</v>
      </c>
      <c r="I5" s="7">
        <f>ROUND(8216*H5*1.043*1.038*1.01,2)</f>
        <v>12487.58</v>
      </c>
      <c r="J5" s="15">
        <v>2</v>
      </c>
      <c r="K5" s="7">
        <f>ROUND(8216*J5*1.043*1.038*1.01,2)</f>
        <v>17967.740000000002</v>
      </c>
      <c r="L5" s="15">
        <v>2</v>
      </c>
      <c r="M5" s="7">
        <f>ROUND(8216*L5*1.043*1.038*1.01,2)</f>
        <v>17967.740000000002</v>
      </c>
      <c r="N5" s="15">
        <v>2</v>
      </c>
      <c r="O5" s="7">
        <f>ROUND(8216*N5*1.043*1.038*1.01,2)</f>
        <v>17967.740000000002</v>
      </c>
      <c r="P5" s="15">
        <v>2.4</v>
      </c>
      <c r="Q5" s="7">
        <f>ROUND(8216*P5*1.043*1.038*1.01,2)</f>
        <v>21561.29</v>
      </c>
    </row>
    <row r="6" spans="1:17" ht="57" customHeight="1" x14ac:dyDescent="0.25">
      <c r="A6" s="3"/>
      <c r="B6" s="4"/>
      <c r="C6" s="6" t="s">
        <v>46</v>
      </c>
      <c r="D6" s="7"/>
      <c r="E6" s="7">
        <f>ROUND(E5*0.3,2)</f>
        <v>3368.95</v>
      </c>
      <c r="F6" s="7"/>
      <c r="G6" s="7">
        <f>ROUND(G5*0.3,2)</f>
        <v>3746.27</v>
      </c>
      <c r="H6" s="7"/>
      <c r="I6" s="7">
        <f>ROUND(I5*0.3,2)</f>
        <v>3746.27</v>
      </c>
      <c r="J6" s="15"/>
      <c r="K6" s="7">
        <f>ROUND(K5*0.3,2)</f>
        <v>5390.32</v>
      </c>
      <c r="L6" s="15"/>
      <c r="M6" s="15">
        <f>ROUND(M5*0.3,2)</f>
        <v>5390.32</v>
      </c>
      <c r="N6" s="15"/>
      <c r="O6" s="15">
        <f>ROUND(O5*0.3,2)</f>
        <v>5390.32</v>
      </c>
      <c r="P6" s="15"/>
      <c r="Q6" s="7">
        <f>ROUND(Q5*0.3,2)</f>
        <v>6468.39</v>
      </c>
    </row>
    <row r="7" spans="1:17" ht="55.5" customHeight="1" x14ac:dyDescent="0.25">
      <c r="A7" s="3"/>
      <c r="B7" s="4"/>
      <c r="C7" s="6" t="s">
        <v>45</v>
      </c>
      <c r="D7" s="7"/>
      <c r="E7" s="7"/>
      <c r="F7" s="7"/>
      <c r="G7" s="7"/>
      <c r="H7" s="7"/>
      <c r="I7" s="7"/>
      <c r="J7" s="15"/>
      <c r="K7" s="7">
        <f>ROUND((K5+K6)*0.2,2)</f>
        <v>4671.6099999999997</v>
      </c>
      <c r="L7" s="15"/>
      <c r="M7" s="15"/>
      <c r="N7" s="15"/>
      <c r="O7" s="15"/>
      <c r="P7" s="15"/>
      <c r="Q7" s="7">
        <f>ROUND((Q5+Q6)*0.2,2)</f>
        <v>5605.94</v>
      </c>
    </row>
    <row r="8" spans="1:17" ht="50.25" customHeight="1" x14ac:dyDescent="0.25">
      <c r="A8" s="4"/>
      <c r="B8" s="4"/>
      <c r="C8" s="6" t="s">
        <v>47</v>
      </c>
      <c r="D8" s="4"/>
      <c r="E8" s="7">
        <f>ROUND((E5+E6)*0.3,2)</f>
        <v>4379.6400000000003</v>
      </c>
      <c r="F8" s="5"/>
      <c r="G8" s="7">
        <f>ROUND((G5+G6)*0.3,2)</f>
        <v>4870.16</v>
      </c>
      <c r="H8" s="5"/>
      <c r="I8" s="7">
        <f>ROUND((I5+I6)*0.3,2)</f>
        <v>4870.16</v>
      </c>
      <c r="J8" s="16"/>
      <c r="K8" s="7">
        <f>ROUND((K5+K6)*0.3,2)</f>
        <v>7007.42</v>
      </c>
      <c r="L8" s="16"/>
      <c r="M8" s="15">
        <f>ROUND((M5+M6)*0.3,2)</f>
        <v>7007.42</v>
      </c>
      <c r="N8" s="16"/>
      <c r="O8" s="15">
        <f>ROUND((O5+O6)*0.3,2)</f>
        <v>7007.42</v>
      </c>
      <c r="P8" s="16"/>
      <c r="Q8" s="7">
        <f>ROUND((Q5+Q6)*0.3,2)</f>
        <v>8408.9</v>
      </c>
    </row>
    <row r="9" spans="1:17" ht="46.5" customHeight="1" x14ac:dyDescent="0.25">
      <c r="A9" s="4"/>
      <c r="B9" s="4"/>
      <c r="C9" s="6" t="s">
        <v>11</v>
      </c>
      <c r="D9" s="4"/>
      <c r="E9" s="7">
        <f t="shared" ref="E9" si="0">ROUND((E5+E6)*0.05,2)</f>
        <v>729.94</v>
      </c>
      <c r="F9" s="7"/>
      <c r="G9" s="7">
        <f>ROUND((G5+G6)*0.05,2)</f>
        <v>811.69</v>
      </c>
      <c r="H9" s="7"/>
      <c r="I9" s="7">
        <f>ROUND((I5+I6)*0.05,2)</f>
        <v>811.69</v>
      </c>
      <c r="J9" s="7"/>
      <c r="K9" s="7">
        <f>ROUND((K5+K6)*0.05,2)</f>
        <v>1167.9000000000001</v>
      </c>
      <c r="L9" s="7"/>
      <c r="M9" s="7">
        <f>ROUND((M5+M6)*0.05,2)</f>
        <v>1167.9000000000001</v>
      </c>
      <c r="N9" s="7"/>
      <c r="O9" s="7">
        <f>ROUND((O5+O6)*0.05,2)</f>
        <v>1167.9000000000001</v>
      </c>
      <c r="P9" s="7"/>
      <c r="Q9" s="7">
        <f>ROUND((Q5+Q6)*0.05,2)</f>
        <v>1401.48</v>
      </c>
    </row>
    <row r="10" spans="1:17" ht="61.5" customHeight="1" x14ac:dyDescent="0.25">
      <c r="A10" s="4"/>
      <c r="B10" s="4"/>
      <c r="C10" s="6" t="s">
        <v>48</v>
      </c>
      <c r="D10" s="4"/>
      <c r="E10" s="7">
        <f t="shared" ref="E10" si="1">ROUND(E5*0.4,2)</f>
        <v>4491.9399999999996</v>
      </c>
      <c r="F10" s="7"/>
      <c r="G10" s="7">
        <f>ROUND(G5*0.4,2)</f>
        <v>4995.03</v>
      </c>
      <c r="H10" s="7"/>
      <c r="I10" s="7">
        <f t="shared" ref="I10:Q10" si="2">ROUND(I5*0.4,2)</f>
        <v>4995.03</v>
      </c>
      <c r="J10" s="7"/>
      <c r="K10" s="7">
        <f t="shared" si="2"/>
        <v>7187.1</v>
      </c>
      <c r="L10" s="7"/>
      <c r="M10" s="7">
        <f t="shared" si="2"/>
        <v>7187.1</v>
      </c>
      <c r="N10" s="7"/>
      <c r="O10" s="7">
        <f t="shared" si="2"/>
        <v>7187.1</v>
      </c>
      <c r="P10" s="7"/>
      <c r="Q10" s="7">
        <f t="shared" si="2"/>
        <v>8624.52</v>
      </c>
    </row>
    <row r="11" spans="1:17" ht="39.75" customHeight="1" x14ac:dyDescent="0.25">
      <c r="A11" s="4"/>
      <c r="B11" s="4"/>
      <c r="C11" s="6" t="s">
        <v>61</v>
      </c>
      <c r="D11" s="4"/>
      <c r="E11" s="7">
        <f t="shared" ref="E11" si="3">ROUND(E5*0.2,2)</f>
        <v>2245.9699999999998</v>
      </c>
      <c r="F11" s="7"/>
      <c r="G11" s="7">
        <f>ROUND(G5*0.4,2)</f>
        <v>4995.03</v>
      </c>
      <c r="H11" s="7"/>
      <c r="I11" s="7">
        <f>ROUND(I5*0.4,2)</f>
        <v>4995.03</v>
      </c>
      <c r="J11" s="7"/>
      <c r="K11" s="7">
        <f>ROUND(K5*0.4,2)</f>
        <v>7187.1</v>
      </c>
      <c r="L11" s="7"/>
      <c r="M11" s="7">
        <f>ROUND(M5*0.4,2)</f>
        <v>7187.1</v>
      </c>
      <c r="N11" s="7"/>
      <c r="O11" s="7">
        <f>ROUND(O5*0.4,2)</f>
        <v>7187.1</v>
      </c>
      <c r="P11" s="7"/>
      <c r="Q11" s="7">
        <f>ROUND(Q5*0.4,2)</f>
        <v>8624.52</v>
      </c>
    </row>
    <row r="12" spans="1:17" ht="28.5" customHeight="1" x14ac:dyDescent="0.25">
      <c r="A12" s="4"/>
      <c r="B12" s="4"/>
      <c r="C12" s="4" t="s">
        <v>12</v>
      </c>
      <c r="D12" s="4"/>
      <c r="E12" s="7">
        <f t="shared" ref="E12" si="4">ROUND((E5+E6+E7+E8++E9+E10+E11)*0.05,2)</f>
        <v>1322.31</v>
      </c>
      <c r="F12" s="7"/>
      <c r="G12" s="7">
        <f>ROUND((G5+G6+G7+G8++G9+G10+G11)*0.05,2)</f>
        <v>1595.29</v>
      </c>
      <c r="H12" s="7"/>
      <c r="I12" s="7">
        <f t="shared" ref="I12:Q12" si="5">ROUND((I5+I6+I7+I8++I9+I10+I11)*0.05,2)</f>
        <v>1595.29</v>
      </c>
      <c r="J12" s="7"/>
      <c r="K12" s="7">
        <f t="shared" si="5"/>
        <v>2528.96</v>
      </c>
      <c r="L12" s="7"/>
      <c r="M12" s="7">
        <f t="shared" si="5"/>
        <v>2295.38</v>
      </c>
      <c r="N12" s="7"/>
      <c r="O12" s="7">
        <f t="shared" si="5"/>
        <v>2295.38</v>
      </c>
      <c r="P12" s="7"/>
      <c r="Q12" s="7">
        <f t="shared" si="5"/>
        <v>3034.75</v>
      </c>
    </row>
    <row r="13" spans="1:17" ht="24.75" customHeight="1" x14ac:dyDescent="0.25">
      <c r="A13" s="4"/>
      <c r="B13" s="4"/>
      <c r="C13" s="4" t="s">
        <v>13</v>
      </c>
      <c r="D13" s="4"/>
      <c r="E13" s="3">
        <f t="shared" ref="E13" si="6">ROUND((E5+E6+E7+E8+E9+E10+E11)*0.01,2)</f>
        <v>264.45999999999998</v>
      </c>
      <c r="F13" s="3"/>
      <c r="G13" s="3">
        <f>ROUND((G5+G6+G7+G8+G9+G10+G11)*0.01,2)</f>
        <v>319.06</v>
      </c>
      <c r="H13" s="3"/>
      <c r="I13" s="3">
        <f t="shared" ref="I13:Q13" si="7">ROUND((I5+I6+I7+I8+I9+I10+I11)*0.01,2)</f>
        <v>319.06</v>
      </c>
      <c r="J13" s="3"/>
      <c r="K13" s="3">
        <f t="shared" si="7"/>
        <v>505.79</v>
      </c>
      <c r="L13" s="3"/>
      <c r="M13" s="3">
        <f t="shared" si="7"/>
        <v>459.08</v>
      </c>
      <c r="N13" s="3"/>
      <c r="O13" s="3">
        <f t="shared" si="7"/>
        <v>459.08</v>
      </c>
      <c r="P13" s="3"/>
      <c r="Q13" s="3">
        <f t="shared" si="7"/>
        <v>606.95000000000005</v>
      </c>
    </row>
    <row r="14" spans="1:17" ht="24.75" customHeight="1" x14ac:dyDescent="0.25">
      <c r="A14" s="4"/>
      <c r="B14" s="4"/>
      <c r="C14" s="4" t="s">
        <v>33</v>
      </c>
      <c r="D14" s="4"/>
      <c r="E14" s="7">
        <f t="shared" ref="E14" si="8">ROUND(22165.64/29.3*42/12*D5,2)</f>
        <v>3309.72</v>
      </c>
      <c r="F14" s="7"/>
      <c r="G14" s="7">
        <f>ROUND(23687.14/29.3*42/12*F5,2)</f>
        <v>3933.04</v>
      </c>
      <c r="H14" s="7"/>
      <c r="I14" s="7">
        <f>ROUND(23687.14/29.3*42/12*H5,2)</f>
        <v>3933.04</v>
      </c>
      <c r="J14" s="7"/>
      <c r="K14" s="7">
        <f>ROUND(23687.14/29.3*56/12*J5,2)</f>
        <v>7545.39</v>
      </c>
      <c r="L14" s="7"/>
      <c r="M14" s="7">
        <f>ROUND(23687.14/29.3*42/12*L5,2)</f>
        <v>5659.04</v>
      </c>
      <c r="N14" s="7"/>
      <c r="O14" s="7">
        <f>ROUND(23687.14/29.3*42/12*N5,2)</f>
        <v>5659.04</v>
      </c>
      <c r="P14" s="7"/>
      <c r="Q14" s="7">
        <f>ROUND(23687.14/29.3*56/12*P5,2)</f>
        <v>9054.4699999999993</v>
      </c>
    </row>
    <row r="15" spans="1:17" ht="39" customHeight="1" x14ac:dyDescent="0.25">
      <c r="A15" s="4"/>
      <c r="B15" s="4"/>
      <c r="C15" s="6" t="s">
        <v>14</v>
      </c>
      <c r="D15" s="4"/>
      <c r="E15" s="11">
        <f t="shared" ref="E15" si="9">ROUND((E5+E6+E7+E8+E9+E10+E12+E13+E14+E11)*0.302,2)</f>
        <v>9465.52</v>
      </c>
      <c r="F15" s="11"/>
      <c r="G15" s="11">
        <f>ROUND((G5+G6+G7+G8+G9+G10+G12+G13+G14+G11)*0.302,2)</f>
        <v>11401.45</v>
      </c>
      <c r="H15" s="11"/>
      <c r="I15" s="11">
        <f t="shared" ref="I15:Q15" si="10">ROUND((I5+I6+I7+I8+I9+I10+I12+I13+I14+I11)*0.302,2)</f>
        <v>11401.45</v>
      </c>
      <c r="J15" s="11"/>
      <c r="K15" s="11">
        <f t="shared" si="10"/>
        <v>18470.12</v>
      </c>
      <c r="L15" s="11"/>
      <c r="M15" s="11">
        <f t="shared" si="10"/>
        <v>16404.97</v>
      </c>
      <c r="N15" s="11"/>
      <c r="O15" s="11">
        <f t="shared" si="10"/>
        <v>16404.97</v>
      </c>
      <c r="P15" s="11"/>
      <c r="Q15" s="11">
        <f t="shared" si="10"/>
        <v>22164.15</v>
      </c>
    </row>
    <row r="16" spans="1:17" ht="36" customHeight="1" x14ac:dyDescent="0.25">
      <c r="A16" s="4"/>
      <c r="B16" s="4"/>
      <c r="C16" s="6" t="s">
        <v>17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0" t="s">
        <v>15</v>
      </c>
      <c r="D17" s="4"/>
      <c r="E17" s="7">
        <f t="shared" ref="E17" si="11">E5+E6+E7+E8+E9+E10+E12+E13+E15+E14+E11</f>
        <v>40808.29</v>
      </c>
      <c r="F17" s="7"/>
      <c r="G17" s="7">
        <f>G5+G6+G7+G8+G9+G10+G12+G13+G15+G14+G11</f>
        <v>49154.6</v>
      </c>
      <c r="H17" s="7"/>
      <c r="I17" s="7">
        <f t="shared" ref="I17:Q17" si="12">I5+I6+I7+I8+I9+I10+I12+I13+I15+I14+I11</f>
        <v>49154.6</v>
      </c>
      <c r="J17" s="7"/>
      <c r="K17" s="7">
        <f t="shared" si="12"/>
        <v>79629.450000000012</v>
      </c>
      <c r="L17" s="7"/>
      <c r="M17" s="7">
        <f t="shared" si="12"/>
        <v>70726.05</v>
      </c>
      <c r="N17" s="7"/>
      <c r="O17" s="7">
        <f t="shared" si="12"/>
        <v>70726.05</v>
      </c>
      <c r="P17" s="7"/>
      <c r="Q17" s="7">
        <f t="shared" si="12"/>
        <v>95555.36</v>
      </c>
    </row>
    <row r="18" spans="1:17" ht="24.75" customHeight="1" x14ac:dyDescent="0.25">
      <c r="A18" s="4"/>
      <c r="B18" s="4"/>
      <c r="C18" s="10" t="s">
        <v>16</v>
      </c>
      <c r="D18" s="4"/>
      <c r="E18" s="7">
        <f t="shared" ref="E18" si="13">ROUND(E17*12,2)</f>
        <v>489699.48</v>
      </c>
      <c r="F18" s="7"/>
      <c r="G18" s="7">
        <f>ROUND(G17*12,2)</f>
        <v>589855.19999999995</v>
      </c>
      <c r="H18" s="7"/>
      <c r="I18" s="7">
        <f t="shared" ref="I18:Q18" si="14">ROUND(I17*12,2)</f>
        <v>589855.19999999995</v>
      </c>
      <c r="J18" s="7"/>
      <c r="K18" s="7">
        <f t="shared" si="14"/>
        <v>955553.4</v>
      </c>
      <c r="L18" s="7"/>
      <c r="M18" s="7">
        <f t="shared" si="14"/>
        <v>848712.6</v>
      </c>
      <c r="N18" s="7"/>
      <c r="O18" s="7">
        <f t="shared" si="14"/>
        <v>848712.6</v>
      </c>
      <c r="P18" s="7"/>
      <c r="Q18" s="7">
        <f t="shared" si="14"/>
        <v>1146664.32</v>
      </c>
    </row>
    <row r="19" spans="1:17" x14ac:dyDescent="0.25">
      <c r="A19" s="4"/>
      <c r="B19" s="4"/>
      <c r="C19" s="4"/>
      <c r="D19" s="4"/>
      <c r="E19" s="4"/>
      <c r="F19" s="4"/>
      <c r="G19" s="22"/>
      <c r="H19" s="4"/>
      <c r="I19" s="22"/>
      <c r="J19" s="17"/>
      <c r="K19" s="23"/>
      <c r="L19" s="17"/>
      <c r="M19" s="23"/>
      <c r="N19" s="17"/>
      <c r="O19" s="23"/>
      <c r="P19" s="17"/>
      <c r="Q19" s="23"/>
    </row>
    <row r="20" spans="1:17" ht="45" x14ac:dyDescent="0.25">
      <c r="A20" s="3">
        <v>2</v>
      </c>
      <c r="B20" s="6" t="s">
        <v>4</v>
      </c>
      <c r="C20" s="6" t="s">
        <v>37</v>
      </c>
      <c r="D20" s="3">
        <v>0.25</v>
      </c>
      <c r="E20" s="7">
        <f>ROUND(7471*D20*1.043*1.038*1.01,2)</f>
        <v>2042.31</v>
      </c>
      <c r="F20" s="7">
        <v>0.25</v>
      </c>
      <c r="G20" s="7">
        <f>ROUND(7471*F20*1.043*1.038*1.01,2)</f>
        <v>2042.31</v>
      </c>
      <c r="H20" s="3">
        <v>0.25</v>
      </c>
      <c r="I20" s="7">
        <f>ROUND(7471*H20*1.043*1.038*1.01,2)</f>
        <v>2042.31</v>
      </c>
      <c r="J20" s="18">
        <v>0.25</v>
      </c>
      <c r="K20" s="7">
        <f>ROUND(7471*J20*1.043*1.038*1.01,2)</f>
        <v>2042.31</v>
      </c>
      <c r="L20" s="18">
        <v>0.25</v>
      </c>
      <c r="M20" s="7">
        <f>ROUND(7471*L20*1.043*1.038*1.01,2)</f>
        <v>2042.31</v>
      </c>
      <c r="N20" s="18">
        <v>0.25</v>
      </c>
      <c r="O20" s="7">
        <f>ROUND(7471*N20*1.043*1.038*1.01,2)</f>
        <v>2042.31</v>
      </c>
      <c r="P20" s="18">
        <v>0.25</v>
      </c>
      <c r="Q20" s="7">
        <f>ROUND(7471*P20*1.043*1.038*1.01,2)</f>
        <v>2042.31</v>
      </c>
    </row>
    <row r="21" spans="1:17" ht="45" x14ac:dyDescent="0.25">
      <c r="A21" s="4"/>
      <c r="B21" s="4"/>
      <c r="C21" s="6" t="s">
        <v>46</v>
      </c>
      <c r="D21" s="4"/>
      <c r="E21" s="7">
        <f>ROUND(E20*0.3,2)</f>
        <v>612.69000000000005</v>
      </c>
      <c r="F21" s="5"/>
      <c r="G21" s="7">
        <f>ROUND(G20*0.3,2)</f>
        <v>612.69000000000005</v>
      </c>
      <c r="H21" s="4"/>
      <c r="I21" s="7">
        <f>ROUND(I20*0.3,2)</f>
        <v>612.69000000000005</v>
      </c>
      <c r="J21" s="17"/>
      <c r="K21" s="7">
        <f>ROUND(K20*0.3,2)</f>
        <v>612.69000000000005</v>
      </c>
      <c r="L21" s="17"/>
      <c r="M21" s="15">
        <f>ROUND(M20*0.3,2)</f>
        <v>612.69000000000005</v>
      </c>
      <c r="N21" s="17"/>
      <c r="O21" s="15">
        <f>ROUND(O20*0.3,2)</f>
        <v>612.69000000000005</v>
      </c>
      <c r="P21" s="17"/>
      <c r="Q21" s="7">
        <f>ROUND(Q20*0.3,2)</f>
        <v>612.69000000000005</v>
      </c>
    </row>
    <row r="22" spans="1:17" ht="45.75" customHeight="1" x14ac:dyDescent="0.25">
      <c r="A22" s="4"/>
      <c r="B22" s="4"/>
      <c r="C22" s="6" t="s">
        <v>45</v>
      </c>
      <c r="D22" s="4"/>
      <c r="E22" s="7"/>
      <c r="F22" s="5"/>
      <c r="G22" s="7"/>
      <c r="H22" s="4"/>
      <c r="I22" s="7"/>
      <c r="J22" s="17"/>
      <c r="K22" s="7">
        <f>ROUND((K20+K21)*0.2,2)</f>
        <v>531</v>
      </c>
      <c r="L22" s="17"/>
      <c r="M22" s="15"/>
      <c r="N22" s="17"/>
      <c r="O22" s="15"/>
      <c r="P22" s="17"/>
      <c r="Q22" s="7">
        <f>ROUND((Q20+Q21)*0.2,2)</f>
        <v>531</v>
      </c>
    </row>
    <row r="23" spans="1:17" ht="60" x14ac:dyDescent="0.25">
      <c r="A23" s="4"/>
      <c r="B23" s="4"/>
      <c r="C23" s="6" t="s">
        <v>47</v>
      </c>
      <c r="D23" s="4"/>
      <c r="E23" s="7">
        <f>ROUND((E20+E21)*0.3,2)</f>
        <v>796.5</v>
      </c>
      <c r="F23" s="5"/>
      <c r="G23" s="7">
        <f>ROUND((G20+G21)*0.3,2)</f>
        <v>796.5</v>
      </c>
      <c r="H23" s="4"/>
      <c r="I23" s="7">
        <f>ROUND((I20+I21)*0.3,2)</f>
        <v>796.5</v>
      </c>
      <c r="J23" s="17"/>
      <c r="K23" s="7">
        <f>ROUND((K20+K21)*0.3,2)</f>
        <v>796.5</v>
      </c>
      <c r="L23" s="17"/>
      <c r="M23" s="15">
        <f>ROUND((M20+M21)*0.3,2)</f>
        <v>796.5</v>
      </c>
      <c r="N23" s="17"/>
      <c r="O23" s="15">
        <f>ROUND((O20+O21)*0.3,2)</f>
        <v>796.5</v>
      </c>
      <c r="P23" s="17"/>
      <c r="Q23" s="7">
        <f>ROUND((Q20+Q21)*0.3,2)</f>
        <v>796.5</v>
      </c>
    </row>
    <row r="24" spans="1:17" ht="45" x14ac:dyDescent="0.25">
      <c r="A24" s="4"/>
      <c r="B24" s="4"/>
      <c r="C24" s="6" t="s">
        <v>11</v>
      </c>
      <c r="D24" s="6"/>
      <c r="E24" s="39">
        <f>ROUND((E20+E21)*0.05,2)</f>
        <v>132.75</v>
      </c>
      <c r="F24" s="7"/>
      <c r="G24" s="7">
        <f>ROUND((G20+G21)*0.05,2)</f>
        <v>132.75</v>
      </c>
      <c r="H24" s="7"/>
      <c r="I24" s="7">
        <f>ROUND((I20+I21)*0.05,2)</f>
        <v>132.75</v>
      </c>
      <c r="J24" s="7"/>
      <c r="K24" s="7">
        <f>ROUND((K20+K21)*0.05,2)</f>
        <v>132.75</v>
      </c>
      <c r="L24" s="7"/>
      <c r="M24" s="7">
        <f>ROUND((M20+M21)*0.05,2)</f>
        <v>132.75</v>
      </c>
      <c r="N24" s="7"/>
      <c r="O24" s="7">
        <f>ROUND((O20+O21)*0.05,2)</f>
        <v>132.75</v>
      </c>
      <c r="P24" s="7"/>
      <c r="Q24" s="7">
        <f>ROUND((Q20+Q21)*0.05,2)</f>
        <v>132.75</v>
      </c>
    </row>
    <row r="25" spans="1:17" ht="45" x14ac:dyDescent="0.25">
      <c r="A25" s="4"/>
      <c r="B25" s="4"/>
      <c r="C25" s="6" t="s">
        <v>48</v>
      </c>
      <c r="D25" s="6"/>
      <c r="E25" s="39">
        <f>ROUND(E20*0.4,2)</f>
        <v>816.92</v>
      </c>
      <c r="F25" s="7"/>
      <c r="G25" s="7">
        <f>ROUND(G20*0.4,2)</f>
        <v>816.92</v>
      </c>
      <c r="H25" s="7"/>
      <c r="I25" s="7">
        <f t="shared" ref="I25:Q25" si="15">ROUND(I20*0.4,2)</f>
        <v>816.92</v>
      </c>
      <c r="J25" s="7"/>
      <c r="K25" s="7">
        <f t="shared" si="15"/>
        <v>816.92</v>
      </c>
      <c r="L25" s="7"/>
      <c r="M25" s="7">
        <f t="shared" si="15"/>
        <v>816.92</v>
      </c>
      <c r="N25" s="7"/>
      <c r="O25" s="7">
        <f t="shared" si="15"/>
        <v>816.92</v>
      </c>
      <c r="P25" s="7"/>
      <c r="Q25" s="7">
        <f t="shared" si="15"/>
        <v>816.92</v>
      </c>
    </row>
    <row r="26" spans="1:17" ht="35.25" customHeight="1" x14ac:dyDescent="0.25">
      <c r="A26" s="4"/>
      <c r="B26" s="4"/>
      <c r="C26" s="6" t="s">
        <v>61</v>
      </c>
      <c r="D26" s="6"/>
      <c r="E26" s="39">
        <f>ROUND(E20*0.2,2)</f>
        <v>408.46</v>
      </c>
      <c r="F26" s="7"/>
      <c r="G26" s="7">
        <f>ROUND(G20*0.4,2)</f>
        <v>816.92</v>
      </c>
      <c r="H26" s="7"/>
      <c r="I26" s="7">
        <f>ROUND(I20*0.4,2)</f>
        <v>816.92</v>
      </c>
      <c r="J26" s="7"/>
      <c r="K26" s="7">
        <f>ROUND(K20*0.4,2)</f>
        <v>816.92</v>
      </c>
      <c r="L26" s="7"/>
      <c r="M26" s="7">
        <f>ROUND(M20*0.4,2)</f>
        <v>816.92</v>
      </c>
      <c r="N26" s="7"/>
      <c r="O26" s="7">
        <f>ROUND(O20*0.4,2)</f>
        <v>816.92</v>
      </c>
      <c r="P26" s="7"/>
      <c r="Q26" s="7">
        <f>ROUND(Q20*0.4,2)</f>
        <v>816.92</v>
      </c>
    </row>
    <row r="27" spans="1:17" x14ac:dyDescent="0.25">
      <c r="A27" s="4"/>
      <c r="B27" s="4"/>
      <c r="C27" s="4" t="s">
        <v>12</v>
      </c>
      <c r="D27" s="4"/>
      <c r="E27" s="7">
        <f>ROUND((E20+E21+E22++E23+E24+E25+E26)*0.05,2)</f>
        <v>240.48</v>
      </c>
      <c r="F27" s="7"/>
      <c r="G27" s="7">
        <f>ROUND((G20+G21+G22++G23+G24+G25+G26)*0.05,2)</f>
        <v>260.89999999999998</v>
      </c>
      <c r="H27" s="7"/>
      <c r="I27" s="7">
        <f t="shared" ref="I27:Q27" si="16">ROUND((I20+I21+I22++I23+I24+I25+I26)*0.05,2)</f>
        <v>260.89999999999998</v>
      </c>
      <c r="J27" s="7"/>
      <c r="K27" s="7">
        <f t="shared" si="16"/>
        <v>287.45</v>
      </c>
      <c r="L27" s="7"/>
      <c r="M27" s="7">
        <f t="shared" si="16"/>
        <v>260.89999999999998</v>
      </c>
      <c r="N27" s="7"/>
      <c r="O27" s="7">
        <f t="shared" si="16"/>
        <v>260.89999999999998</v>
      </c>
      <c r="P27" s="7"/>
      <c r="Q27" s="7">
        <f t="shared" si="16"/>
        <v>287.45</v>
      </c>
    </row>
    <row r="28" spans="1:17" x14ac:dyDescent="0.25">
      <c r="A28" s="4"/>
      <c r="B28" s="4"/>
      <c r="C28" s="4" t="s">
        <v>13</v>
      </c>
      <c r="D28" s="4"/>
      <c r="E28" s="3">
        <f>ROUND((E20+E21+E22+E23+E24+E25+E26)*0.01,2)</f>
        <v>48.1</v>
      </c>
      <c r="F28" s="3"/>
      <c r="G28" s="3">
        <f>ROUND((G20+G21+G22+G23+G24+G25+G26)*0.01,2)</f>
        <v>52.18</v>
      </c>
      <c r="H28" s="3"/>
      <c r="I28" s="3">
        <f t="shared" ref="I28:Q28" si="17">ROUND((I20+I21+I22+I23+I24+I25+I26)*0.01,2)</f>
        <v>52.18</v>
      </c>
      <c r="J28" s="3"/>
      <c r="K28" s="3">
        <f t="shared" si="17"/>
        <v>57.49</v>
      </c>
      <c r="L28" s="3"/>
      <c r="M28" s="3">
        <f t="shared" si="17"/>
        <v>52.18</v>
      </c>
      <c r="N28" s="3"/>
      <c r="O28" s="3">
        <f t="shared" si="17"/>
        <v>52.18</v>
      </c>
      <c r="P28" s="3"/>
      <c r="Q28" s="3">
        <f t="shared" si="17"/>
        <v>57.49</v>
      </c>
    </row>
    <row r="29" spans="1:17" ht="30" x14ac:dyDescent="0.25">
      <c r="A29" s="4"/>
      <c r="B29" s="4"/>
      <c r="C29" s="6" t="s">
        <v>14</v>
      </c>
      <c r="D29" s="6"/>
      <c r="E29" s="39">
        <f>ROUND((E20+E21+E22+E23+E24+E25+E27+E28+E26)*0.302,2)</f>
        <v>1539.66</v>
      </c>
      <c r="F29" s="11"/>
      <c r="G29" s="11">
        <f>ROUND((G20+G21+G22+G23+G24+G25+G27+G28+G26)*0.302,2)</f>
        <v>1670.41</v>
      </c>
      <c r="H29" s="11"/>
      <c r="I29" s="11">
        <f t="shared" ref="I29:Q29" si="18">ROUND((I20+I21+I22+I23+I24+I25+I27+I28+I26)*0.302,2)</f>
        <v>1670.41</v>
      </c>
      <c r="J29" s="11"/>
      <c r="K29" s="11">
        <f t="shared" si="18"/>
        <v>1840.4</v>
      </c>
      <c r="L29" s="11"/>
      <c r="M29" s="11">
        <f t="shared" si="18"/>
        <v>1670.41</v>
      </c>
      <c r="N29" s="11"/>
      <c r="O29" s="11">
        <f t="shared" si="18"/>
        <v>1670.41</v>
      </c>
      <c r="P29" s="11"/>
      <c r="Q29" s="11">
        <f t="shared" si="18"/>
        <v>1840.4</v>
      </c>
    </row>
    <row r="30" spans="1:17" ht="52.5" customHeight="1" x14ac:dyDescent="0.25">
      <c r="A30" s="4"/>
      <c r="B30" s="4"/>
      <c r="C30" s="6" t="s">
        <v>21</v>
      </c>
      <c r="D30" s="6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0" t="s">
        <v>15</v>
      </c>
      <c r="D31" s="10"/>
      <c r="E31" s="39">
        <f>E20+E21+E22+E23+E24+E25+E27+E28+E29+E26</f>
        <v>6637.87</v>
      </c>
      <c r="F31" s="7"/>
      <c r="G31" s="7">
        <f>G20+G21+G22+G23+G24+G25+G27+G28+G29+G26</f>
        <v>7201.58</v>
      </c>
      <c r="H31" s="7"/>
      <c r="I31" s="7">
        <f t="shared" ref="I31:Q31" si="19">I20+I21+I22+I23+I24+I25+I27+I28+I29+I26</f>
        <v>7201.58</v>
      </c>
      <c r="J31" s="7"/>
      <c r="K31" s="7">
        <f t="shared" si="19"/>
        <v>7934.43</v>
      </c>
      <c r="L31" s="7"/>
      <c r="M31" s="7">
        <f t="shared" si="19"/>
        <v>7201.58</v>
      </c>
      <c r="N31" s="7"/>
      <c r="O31" s="7">
        <f t="shared" si="19"/>
        <v>7201.58</v>
      </c>
      <c r="P31" s="7"/>
      <c r="Q31" s="7">
        <f t="shared" si="19"/>
        <v>7934.43</v>
      </c>
    </row>
    <row r="32" spans="1:17" x14ac:dyDescent="0.25">
      <c r="A32" s="4"/>
      <c r="B32" s="4"/>
      <c r="C32" s="10" t="s">
        <v>16</v>
      </c>
      <c r="D32" s="10"/>
      <c r="E32" s="39">
        <f>ROUND(E31*12,2)</f>
        <v>79654.44</v>
      </c>
      <c r="F32" s="5"/>
      <c r="G32" s="7">
        <f>ROUND(G31*12,2)</f>
        <v>86418.96</v>
      </c>
      <c r="H32" s="7"/>
      <c r="I32" s="7">
        <f t="shared" ref="I32:Q32" si="20">ROUND(I31*12,2)</f>
        <v>86418.96</v>
      </c>
      <c r="J32" s="7"/>
      <c r="K32" s="7">
        <f t="shared" si="20"/>
        <v>95213.16</v>
      </c>
      <c r="L32" s="7"/>
      <c r="M32" s="7">
        <f t="shared" si="20"/>
        <v>86418.96</v>
      </c>
      <c r="N32" s="7"/>
      <c r="O32" s="7">
        <f t="shared" si="20"/>
        <v>86418.96</v>
      </c>
      <c r="P32" s="7"/>
      <c r="Q32" s="7">
        <f t="shared" si="20"/>
        <v>95213.16</v>
      </c>
    </row>
    <row r="33" spans="1:17" ht="45" x14ac:dyDescent="0.25">
      <c r="A33" s="3">
        <v>3</v>
      </c>
      <c r="B33" s="6" t="s">
        <v>28</v>
      </c>
      <c r="C33" s="6" t="s">
        <v>37</v>
      </c>
      <c r="D33" s="37">
        <v>0.125</v>
      </c>
      <c r="E33" s="39">
        <f>ROUND(7471*D33*1.043*1.038*1.01,2)</f>
        <v>1021.16</v>
      </c>
      <c r="F33" s="20"/>
      <c r="G33" s="39">
        <f>ROUND(7471*F33*1.043*1.038*1.01,2)</f>
        <v>0</v>
      </c>
      <c r="H33" s="20">
        <v>0.125</v>
      </c>
      <c r="I33" s="39">
        <f>ROUND(7471*H33*1.043*1.038*1.01,2)</f>
        <v>1021.16</v>
      </c>
      <c r="J33" s="21">
        <v>0.125</v>
      </c>
      <c r="K33" s="39">
        <f>ROUND(7471*J33*1.043*1.038*1.01,2)</f>
        <v>1021.16</v>
      </c>
      <c r="L33" s="21"/>
      <c r="M33" s="39">
        <f>ROUND(7471*L33*1.043*1.038*1.01,2)</f>
        <v>0</v>
      </c>
      <c r="N33" s="21">
        <v>0.125</v>
      </c>
      <c r="O33" s="39">
        <f>ROUND(7471*N33*1.043*1.038*1.01,2)</f>
        <v>1021.16</v>
      </c>
      <c r="P33" s="21">
        <v>0.125</v>
      </c>
      <c r="Q33" s="39">
        <f>ROUND(7471*P33*1.043*1.038*1.01,2)</f>
        <v>1021.16</v>
      </c>
    </row>
    <row r="34" spans="1:17" ht="45" x14ac:dyDescent="0.25">
      <c r="A34" s="4"/>
      <c r="B34" s="4"/>
      <c r="C34" s="6" t="s">
        <v>46</v>
      </c>
      <c r="D34" s="6"/>
      <c r="E34" s="39">
        <f>ROUND(E33*0.3,2)</f>
        <v>306.35000000000002</v>
      </c>
      <c r="F34" s="5"/>
      <c r="G34" s="7">
        <f>ROUND(G33*0.3,2)</f>
        <v>0</v>
      </c>
      <c r="H34" s="4"/>
      <c r="I34" s="7">
        <f>ROUND(I33*0.3,2)</f>
        <v>306.35000000000002</v>
      </c>
      <c r="J34" s="17"/>
      <c r="K34" s="7">
        <f>ROUND(K33*0.3,2)</f>
        <v>306.35000000000002</v>
      </c>
      <c r="L34" s="17"/>
      <c r="M34" s="15">
        <f>ROUND(M33*0.3,2)</f>
        <v>0</v>
      </c>
      <c r="N34" s="17"/>
      <c r="O34" s="15">
        <f>ROUND(O33*0.3,2)</f>
        <v>306.35000000000002</v>
      </c>
      <c r="P34" s="17"/>
      <c r="Q34" s="7">
        <f>ROUND(Q33*0.3,2)</f>
        <v>306.35000000000002</v>
      </c>
    </row>
    <row r="35" spans="1:17" ht="45" x14ac:dyDescent="0.25">
      <c r="A35" s="4"/>
      <c r="B35" s="4"/>
      <c r="C35" s="6" t="s">
        <v>45</v>
      </c>
      <c r="D35" s="6"/>
      <c r="E35" s="39"/>
      <c r="F35" s="5"/>
      <c r="G35" s="7"/>
      <c r="H35" s="4"/>
      <c r="I35" s="7"/>
      <c r="J35" s="17"/>
      <c r="K35" s="7">
        <f>ROUND((K33+K34)*0.2,2)</f>
        <v>265.5</v>
      </c>
      <c r="L35" s="17"/>
      <c r="M35" s="15"/>
      <c r="N35" s="17"/>
      <c r="O35" s="15"/>
      <c r="P35" s="17"/>
      <c r="Q35" s="7">
        <f>ROUND((Q33+Q34)*0.2,2)</f>
        <v>265.5</v>
      </c>
    </row>
    <row r="36" spans="1:17" ht="60" x14ac:dyDescent="0.25">
      <c r="A36" s="4"/>
      <c r="B36" s="4"/>
      <c r="C36" s="6" t="s">
        <v>47</v>
      </c>
      <c r="D36" s="6"/>
      <c r="E36" s="39">
        <f>ROUND((E33+E34)*0.3,2)</f>
        <v>398.25</v>
      </c>
      <c r="F36" s="5"/>
      <c r="G36" s="7">
        <f>ROUND((G33+G34)*0.3,2)</f>
        <v>0</v>
      </c>
      <c r="H36" s="4"/>
      <c r="I36" s="7">
        <f>ROUND((I33+I34)*0.3,2)</f>
        <v>398.25</v>
      </c>
      <c r="J36" s="17"/>
      <c r="K36" s="7">
        <f>ROUND((K33+K34)*0.3,2)</f>
        <v>398.25</v>
      </c>
      <c r="L36" s="17"/>
      <c r="M36" s="15">
        <f>ROUND((M33+M34)*0.3,2)</f>
        <v>0</v>
      </c>
      <c r="N36" s="17"/>
      <c r="O36" s="15">
        <f>ROUND((O33+O34)*0.3,2)</f>
        <v>398.25</v>
      </c>
      <c r="P36" s="17"/>
      <c r="Q36" s="7">
        <f>ROUND((Q33+Q34)*0.3,2)</f>
        <v>398.25</v>
      </c>
    </row>
    <row r="37" spans="1:17" ht="45" x14ac:dyDescent="0.25">
      <c r="A37" s="4"/>
      <c r="B37" s="4"/>
      <c r="C37" s="6" t="s">
        <v>11</v>
      </c>
      <c r="D37" s="6"/>
      <c r="E37" s="39">
        <f>ROUND((E33+E34)*0.05,2)</f>
        <v>66.38</v>
      </c>
      <c r="F37" s="7"/>
      <c r="G37" s="7">
        <f>ROUND((G33+G34)*0.05,2)</f>
        <v>0</v>
      </c>
      <c r="H37" s="7"/>
      <c r="I37" s="7">
        <f>ROUND((I33+I34)*0.05,2)</f>
        <v>66.38</v>
      </c>
      <c r="J37" s="7"/>
      <c r="K37" s="7">
        <f>ROUND((K33+K34)*0.05,2)</f>
        <v>66.38</v>
      </c>
      <c r="L37" s="7"/>
      <c r="M37" s="7">
        <f>ROUND((M33+M34)*0.05,2)</f>
        <v>0</v>
      </c>
      <c r="N37" s="7"/>
      <c r="O37" s="7">
        <f>ROUND((O33+O34)*0.05,2)</f>
        <v>66.38</v>
      </c>
      <c r="P37" s="7"/>
      <c r="Q37" s="7">
        <f>ROUND((Q33+Q34)*0.05,2)</f>
        <v>66.38</v>
      </c>
    </row>
    <row r="38" spans="1:17" ht="45" x14ac:dyDescent="0.25">
      <c r="A38" s="4"/>
      <c r="B38" s="4"/>
      <c r="C38" s="6" t="s">
        <v>48</v>
      </c>
      <c r="D38" s="6"/>
      <c r="E38" s="39">
        <f>ROUND(E33*0.4,2)</f>
        <v>408.46</v>
      </c>
      <c r="F38" s="7"/>
      <c r="G38" s="7">
        <f>ROUND(G33*0.4,2)</f>
        <v>0</v>
      </c>
      <c r="H38" s="7"/>
      <c r="I38" s="7">
        <f t="shared" ref="I38:Q38" si="21">ROUND(I33*0.4,2)</f>
        <v>408.46</v>
      </c>
      <c r="J38" s="7"/>
      <c r="K38" s="7">
        <f t="shared" si="21"/>
        <v>408.46</v>
      </c>
      <c r="L38" s="7"/>
      <c r="M38" s="7">
        <f t="shared" si="21"/>
        <v>0</v>
      </c>
      <c r="N38" s="7"/>
      <c r="O38" s="7">
        <f t="shared" si="21"/>
        <v>408.46</v>
      </c>
      <c r="P38" s="7"/>
      <c r="Q38" s="7">
        <f t="shared" si="21"/>
        <v>408.46</v>
      </c>
    </row>
    <row r="39" spans="1:17" ht="36.75" customHeight="1" x14ac:dyDescent="0.25">
      <c r="A39" s="4"/>
      <c r="B39" s="4"/>
      <c r="C39" s="6" t="s">
        <v>61</v>
      </c>
      <c r="D39" s="6"/>
      <c r="E39" s="39">
        <f>ROUND(E33*0.2,2)</f>
        <v>204.23</v>
      </c>
      <c r="F39" s="7"/>
      <c r="G39" s="7">
        <f>ROUND(G33*0.4,2)</f>
        <v>0</v>
      </c>
      <c r="H39" s="7"/>
      <c r="I39" s="7">
        <f>ROUND(I33*0.4,2)</f>
        <v>408.46</v>
      </c>
      <c r="J39" s="7"/>
      <c r="K39" s="7">
        <f>ROUND(K33*0.4,2)</f>
        <v>408.46</v>
      </c>
      <c r="L39" s="7"/>
      <c r="M39" s="7">
        <f>ROUND(M33*0.4,2)</f>
        <v>0</v>
      </c>
      <c r="N39" s="7"/>
      <c r="O39" s="7">
        <f>ROUND(O33*0.4,2)</f>
        <v>408.46</v>
      </c>
      <c r="P39" s="7"/>
      <c r="Q39" s="7">
        <f>ROUND(Q33*0.4,2)</f>
        <v>408.46</v>
      </c>
    </row>
    <row r="40" spans="1:17" ht="26.25" customHeight="1" x14ac:dyDescent="0.25">
      <c r="A40" s="4"/>
      <c r="B40" s="4"/>
      <c r="C40" s="4" t="s">
        <v>12</v>
      </c>
      <c r="D40" s="4"/>
      <c r="E40" s="7">
        <f>ROUND((E33+E34+E35+E36+E37+E38+E39)*0.05,2)</f>
        <v>120.24</v>
      </c>
      <c r="F40" s="7"/>
      <c r="G40" s="7">
        <f>ROUND((G33+G34+G35+G36+G37+G38+G39)*0.05,2)</f>
        <v>0</v>
      </c>
      <c r="H40" s="7"/>
      <c r="I40" s="7">
        <f t="shared" ref="I40:Q40" si="22">ROUND((I33+I34+I35+I36+I37+I38+I39)*0.05,2)</f>
        <v>130.44999999999999</v>
      </c>
      <c r="J40" s="7"/>
      <c r="K40" s="7">
        <f t="shared" si="22"/>
        <v>143.72999999999999</v>
      </c>
      <c r="L40" s="7"/>
      <c r="M40" s="7">
        <f t="shared" si="22"/>
        <v>0</v>
      </c>
      <c r="N40" s="7"/>
      <c r="O40" s="7">
        <f t="shared" si="22"/>
        <v>130.44999999999999</v>
      </c>
      <c r="P40" s="7"/>
      <c r="Q40" s="7">
        <f t="shared" si="22"/>
        <v>143.72999999999999</v>
      </c>
    </row>
    <row r="41" spans="1:17" x14ac:dyDescent="0.25">
      <c r="A41" s="4"/>
      <c r="B41" s="4"/>
      <c r="C41" s="4" t="s">
        <v>13</v>
      </c>
      <c r="D41" s="4"/>
      <c r="E41" s="3">
        <f>ROUND((E33+E34+E35+E36+E37+E38+E39)*0.01,2)</f>
        <v>24.05</v>
      </c>
      <c r="F41" s="3"/>
      <c r="G41" s="3">
        <f>ROUND((G33+G34+G35+G36+G37+G38+G39)*0.01,2)</f>
        <v>0</v>
      </c>
      <c r="H41" s="3"/>
      <c r="I41" s="3">
        <f t="shared" ref="I41:Q41" si="23">ROUND((I33+I34+I35+I36+I37+I38+I39)*0.01,2)</f>
        <v>26.09</v>
      </c>
      <c r="J41" s="3"/>
      <c r="K41" s="3">
        <f t="shared" si="23"/>
        <v>28.75</v>
      </c>
      <c r="L41" s="3"/>
      <c r="M41" s="3">
        <f t="shared" si="23"/>
        <v>0</v>
      </c>
      <c r="N41" s="3"/>
      <c r="O41" s="3">
        <f t="shared" si="23"/>
        <v>26.09</v>
      </c>
      <c r="P41" s="3"/>
      <c r="Q41" s="3">
        <f t="shared" si="23"/>
        <v>28.75</v>
      </c>
    </row>
    <row r="42" spans="1:17" ht="30" x14ac:dyDescent="0.25">
      <c r="A42" s="4"/>
      <c r="B42" s="4"/>
      <c r="C42" s="6" t="s">
        <v>14</v>
      </c>
      <c r="D42" s="6"/>
      <c r="E42" s="39">
        <f>ROUND((E33+E34+E35+E36+E37+E38+E40+E41+E39)*0.302,2)</f>
        <v>769.83</v>
      </c>
      <c r="F42" s="11"/>
      <c r="G42" s="11">
        <f>ROUND((G33+G34+G35+G36+G37+G38+G40+G41+G39)*0.302,2)</f>
        <v>0</v>
      </c>
      <c r="H42" s="11"/>
      <c r="I42" s="11">
        <f t="shared" ref="I42:Q42" si="24">ROUND((I33+I34+I35+I36+I37+I38+I40+I41+I39)*0.302,2)</f>
        <v>835.21</v>
      </c>
      <c r="J42" s="11"/>
      <c r="K42" s="11">
        <f t="shared" si="24"/>
        <v>920.21</v>
      </c>
      <c r="L42" s="11"/>
      <c r="M42" s="11">
        <f t="shared" si="24"/>
        <v>0</v>
      </c>
      <c r="N42" s="11"/>
      <c r="O42" s="11">
        <f t="shared" si="24"/>
        <v>835.21</v>
      </c>
      <c r="P42" s="11"/>
      <c r="Q42" s="11">
        <f t="shared" si="24"/>
        <v>920.21</v>
      </c>
    </row>
    <row r="43" spans="1:17" ht="55.5" customHeight="1" x14ac:dyDescent="0.25">
      <c r="A43" s="4"/>
      <c r="B43" s="4"/>
      <c r="C43" s="6" t="s">
        <v>22</v>
      </c>
      <c r="D43" s="6"/>
      <c r="E43" s="3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0" t="s">
        <v>15</v>
      </c>
      <c r="D44" s="10"/>
      <c r="E44" s="39">
        <f>E33+E34+E35+E36+E37+E38+E40+E41+E42+E39</f>
        <v>3318.95</v>
      </c>
      <c r="F44" s="7"/>
      <c r="G44" s="7">
        <f>G33+G34+G35+G36+G37+G38+G40+G41+G42+G39</f>
        <v>0</v>
      </c>
      <c r="H44" s="7"/>
      <c r="I44" s="7">
        <f t="shared" ref="I44:Q44" si="25">I33+I34+I35+I36+I37+I38+I40+I41+I42+I39</f>
        <v>3600.81</v>
      </c>
      <c r="J44" s="7"/>
      <c r="K44" s="7">
        <f t="shared" si="25"/>
        <v>3967.25</v>
      </c>
      <c r="L44" s="7"/>
      <c r="M44" s="7">
        <f t="shared" si="25"/>
        <v>0</v>
      </c>
      <c r="N44" s="7"/>
      <c r="O44" s="7">
        <f t="shared" si="25"/>
        <v>3600.81</v>
      </c>
      <c r="P44" s="7"/>
      <c r="Q44" s="7">
        <f t="shared" si="25"/>
        <v>3967.25</v>
      </c>
    </row>
    <row r="45" spans="1:17" x14ac:dyDescent="0.25">
      <c r="A45" s="4"/>
      <c r="B45" s="4"/>
      <c r="C45" s="10" t="s">
        <v>16</v>
      </c>
      <c r="D45" s="10"/>
      <c r="E45" s="39">
        <f>ROUND(E44*12,2)</f>
        <v>39827.4</v>
      </c>
      <c r="F45" s="5"/>
      <c r="G45" s="7">
        <f>ROUND(G44*12,2)</f>
        <v>0</v>
      </c>
      <c r="H45" s="7"/>
      <c r="I45" s="7">
        <f t="shared" ref="I45:Q45" si="26">ROUND(I44*12,2)</f>
        <v>43209.72</v>
      </c>
      <c r="J45" s="7"/>
      <c r="K45" s="7">
        <f t="shared" si="26"/>
        <v>47607</v>
      </c>
      <c r="L45" s="7"/>
      <c r="M45" s="7">
        <f t="shared" si="26"/>
        <v>0</v>
      </c>
      <c r="N45" s="7"/>
      <c r="O45" s="7">
        <f t="shared" si="26"/>
        <v>43209.72</v>
      </c>
      <c r="P45" s="7"/>
      <c r="Q45" s="7">
        <f t="shared" si="26"/>
        <v>47607</v>
      </c>
    </row>
    <row r="46" spans="1:17" ht="65.25" customHeight="1" x14ac:dyDescent="0.25">
      <c r="A46" s="3">
        <v>4</v>
      </c>
      <c r="B46" s="6" t="s">
        <v>18</v>
      </c>
      <c r="C46" s="6" t="s">
        <v>37</v>
      </c>
      <c r="D46" s="6"/>
      <c r="E46" s="39"/>
      <c r="F46" s="5"/>
      <c r="G46" s="7"/>
      <c r="H46" s="3"/>
      <c r="I46" s="7"/>
      <c r="J46" s="3">
        <v>1</v>
      </c>
      <c r="K46" s="39">
        <f>ROUND(8621*J46*1.043*1.038*1.01,2)</f>
        <v>9426.7199999999993</v>
      </c>
      <c r="L46" s="17"/>
      <c r="M46" s="15"/>
      <c r="N46" s="17"/>
      <c r="O46" s="15"/>
      <c r="P46" s="3">
        <v>1</v>
      </c>
      <c r="Q46" s="39">
        <f>ROUND(8621*P46*1.043*1.038*1.01,2)</f>
        <v>9426.7199999999993</v>
      </c>
    </row>
    <row r="47" spans="1:17" ht="45" x14ac:dyDescent="0.25">
      <c r="A47" s="4"/>
      <c r="B47" s="4"/>
      <c r="C47" s="6" t="s">
        <v>46</v>
      </c>
      <c r="D47" s="6"/>
      <c r="E47" s="39"/>
      <c r="F47" s="5"/>
      <c r="G47" s="7"/>
      <c r="H47" s="4"/>
      <c r="I47" s="7"/>
      <c r="J47" s="4"/>
      <c r="K47" s="7">
        <f>ROUND(K46*0.3,2)</f>
        <v>2828.02</v>
      </c>
      <c r="L47" s="17"/>
      <c r="M47" s="15"/>
      <c r="N47" s="17"/>
      <c r="O47" s="15"/>
      <c r="P47" s="4"/>
      <c r="Q47" s="7">
        <f>ROUND(Q46*0.3,2)</f>
        <v>2828.02</v>
      </c>
    </row>
    <row r="48" spans="1:17" ht="41.25" customHeight="1" x14ac:dyDescent="0.25">
      <c r="A48" s="4"/>
      <c r="B48" s="4"/>
      <c r="C48" s="6" t="s">
        <v>45</v>
      </c>
      <c r="D48" s="6"/>
      <c r="E48" s="39"/>
      <c r="F48" s="5"/>
      <c r="G48" s="7"/>
      <c r="H48" s="4"/>
      <c r="I48" s="7"/>
      <c r="J48" s="4"/>
      <c r="K48" s="7">
        <f>ROUND((K46+K47)*0.2,2)</f>
        <v>2450.9499999999998</v>
      </c>
      <c r="L48" s="17"/>
      <c r="M48" s="15"/>
      <c r="N48" s="17"/>
      <c r="O48" s="15"/>
      <c r="P48" s="4"/>
      <c r="Q48" s="7">
        <f>ROUND((Q46+Q47)*0.2,2)</f>
        <v>2450.9499999999998</v>
      </c>
    </row>
    <row r="49" spans="1:17" ht="60" x14ac:dyDescent="0.25">
      <c r="A49" s="4"/>
      <c r="B49" s="4"/>
      <c r="C49" s="6" t="s">
        <v>47</v>
      </c>
      <c r="D49" s="6"/>
      <c r="E49" s="39"/>
      <c r="F49" s="5"/>
      <c r="G49" s="7"/>
      <c r="H49" s="4"/>
      <c r="I49" s="7"/>
      <c r="J49" s="4"/>
      <c r="K49" s="7">
        <f>ROUND((K46+K47)*0.3,2)</f>
        <v>3676.42</v>
      </c>
      <c r="L49" s="17"/>
      <c r="M49" s="15"/>
      <c r="N49" s="17"/>
      <c r="O49" s="15"/>
      <c r="P49" s="4"/>
      <c r="Q49" s="7">
        <f>ROUND((Q46+Q47)*0.3,2)</f>
        <v>3676.42</v>
      </c>
    </row>
    <row r="50" spans="1:17" ht="45" x14ac:dyDescent="0.25">
      <c r="A50" s="4"/>
      <c r="B50" s="4"/>
      <c r="C50" s="6" t="s">
        <v>11</v>
      </c>
      <c r="D50" s="6"/>
      <c r="E50" s="39"/>
      <c r="F50" s="5"/>
      <c r="G50" s="7"/>
      <c r="H50" s="4"/>
      <c r="I50" s="7"/>
      <c r="J50" s="4"/>
      <c r="K50" s="7">
        <f>ROUND((K46+K47)*0.05,2)</f>
        <v>612.74</v>
      </c>
      <c r="L50" s="17"/>
      <c r="M50" s="15"/>
      <c r="N50" s="17"/>
      <c r="O50" s="15"/>
      <c r="P50" s="4"/>
      <c r="Q50" s="7">
        <f>ROUND((Q46+Q47)*0.05,2)</f>
        <v>612.74</v>
      </c>
    </row>
    <row r="51" spans="1:17" ht="45" x14ac:dyDescent="0.25">
      <c r="A51" s="4"/>
      <c r="B51" s="4"/>
      <c r="C51" s="6" t="s">
        <v>48</v>
      </c>
      <c r="D51" s="6"/>
      <c r="E51" s="39"/>
      <c r="F51" s="5"/>
      <c r="G51" s="7"/>
      <c r="H51" s="4"/>
      <c r="I51" s="7"/>
      <c r="J51" s="4"/>
      <c r="K51" s="7">
        <f>ROUND(K46*0.4,2)</f>
        <v>3770.69</v>
      </c>
      <c r="L51" s="17"/>
      <c r="M51" s="15"/>
      <c r="N51" s="17"/>
      <c r="O51" s="15"/>
      <c r="P51" s="4"/>
      <c r="Q51" s="7">
        <f>ROUND(Q46*0.4,2)</f>
        <v>3770.69</v>
      </c>
    </row>
    <row r="52" spans="1:17" ht="39.75" customHeight="1" x14ac:dyDescent="0.25">
      <c r="A52" s="4"/>
      <c r="B52" s="4"/>
      <c r="C52" s="6" t="s">
        <v>61</v>
      </c>
      <c r="D52" s="6"/>
      <c r="E52" s="39"/>
      <c r="F52" s="5"/>
      <c r="G52" s="7"/>
      <c r="H52" s="4"/>
      <c r="I52" s="7"/>
      <c r="J52" s="4"/>
      <c r="K52" s="7">
        <f>ROUND(K46*0.4,2)</f>
        <v>3770.69</v>
      </c>
      <c r="L52" s="17"/>
      <c r="M52" s="15"/>
      <c r="N52" s="17"/>
      <c r="O52" s="15"/>
      <c r="P52" s="4"/>
      <c r="Q52" s="7">
        <f>ROUND(Q46*0.4,2)</f>
        <v>3770.69</v>
      </c>
    </row>
    <row r="53" spans="1:17" x14ac:dyDescent="0.25">
      <c r="A53" s="4"/>
      <c r="B53" s="4"/>
      <c r="C53" s="4" t="s">
        <v>12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1326.81</v>
      </c>
      <c r="L53" s="17"/>
      <c r="M53" s="15"/>
      <c r="N53" s="17"/>
      <c r="O53" s="15"/>
      <c r="P53" s="4"/>
      <c r="Q53" s="7">
        <f>ROUND((Q46+Q47+Q48+Q49+Q50+Q51+Q52)*0.05,2)</f>
        <v>1326.81</v>
      </c>
    </row>
    <row r="54" spans="1:17" ht="24.75" customHeight="1" x14ac:dyDescent="0.25">
      <c r="A54" s="4"/>
      <c r="B54" s="4"/>
      <c r="C54" s="4" t="s">
        <v>13</v>
      </c>
      <c r="D54" s="4"/>
      <c r="E54" s="7"/>
      <c r="F54" s="5"/>
      <c r="G54" s="7"/>
      <c r="H54" s="4"/>
      <c r="I54" s="12"/>
      <c r="J54" s="4"/>
      <c r="K54" s="24">
        <f>ROUND((K46+K47+K48+K49+K50+K51+K52)*0.01,2)</f>
        <v>265.36</v>
      </c>
      <c r="L54" s="17"/>
      <c r="M54" s="15"/>
      <c r="N54" s="17"/>
      <c r="O54" s="15"/>
      <c r="P54" s="4"/>
      <c r="Q54" s="24">
        <f>ROUND((Q46+Q47+Q48+Q49+Q50+Q51+Q52)*0.01,2)</f>
        <v>265.36</v>
      </c>
    </row>
    <row r="55" spans="1:17" ht="30" x14ac:dyDescent="0.25">
      <c r="A55" s="4"/>
      <c r="B55" s="4"/>
      <c r="C55" s="6" t="s">
        <v>14</v>
      </c>
      <c r="D55" s="6"/>
      <c r="E55" s="39"/>
      <c r="F55" s="5"/>
      <c r="G55" s="7"/>
      <c r="H55" s="4"/>
      <c r="I55" s="11"/>
      <c r="J55" s="4"/>
      <c r="K55" s="11">
        <f>ROUND((K46+K47+K48+K49+K50+K51+K53+K54+K52)*0.302,2)</f>
        <v>8494.7800000000007</v>
      </c>
      <c r="L55" s="17"/>
      <c r="M55" s="15"/>
      <c r="N55" s="17"/>
      <c r="O55" s="15"/>
      <c r="P55" s="4"/>
      <c r="Q55" s="11">
        <f>ROUND((Q46+Q47+Q48+Q49+Q50+Q51+Q53+Q54+Q52)*0.302,2)</f>
        <v>8494.7800000000007</v>
      </c>
    </row>
    <row r="56" spans="1:17" ht="45" x14ac:dyDescent="0.25">
      <c r="A56" s="4"/>
      <c r="B56" s="4"/>
      <c r="C56" s="6" t="s">
        <v>23</v>
      </c>
      <c r="D56" s="6"/>
      <c r="E56" s="39"/>
      <c r="F56" s="5"/>
      <c r="G56" s="7"/>
      <c r="H56" s="4"/>
      <c r="I56" s="7"/>
      <c r="J56" s="4"/>
      <c r="K56" s="7"/>
      <c r="L56" s="17"/>
      <c r="M56" s="15"/>
      <c r="N56" s="17"/>
      <c r="O56" s="15"/>
      <c r="P56" s="4"/>
      <c r="Q56" s="7"/>
    </row>
    <row r="57" spans="1:17" x14ac:dyDescent="0.25">
      <c r="A57" s="4"/>
      <c r="B57" s="4"/>
      <c r="C57" s="10" t="s">
        <v>15</v>
      </c>
      <c r="D57" s="10"/>
      <c r="E57" s="39"/>
      <c r="F57" s="5"/>
      <c r="G57" s="7"/>
      <c r="H57" s="4"/>
      <c r="I57" s="7"/>
      <c r="J57" s="4"/>
      <c r="K57" s="7">
        <f>K46+K47+K48+K49+K50+K51+K53+K54+K55+K52</f>
        <v>36623.180000000008</v>
      </c>
      <c r="L57" s="17"/>
      <c r="M57" s="15"/>
      <c r="N57" s="17"/>
      <c r="O57" s="15"/>
      <c r="P57" s="4"/>
      <c r="Q57" s="7">
        <f>Q46+Q47+Q48+Q49+Q50+Q51+Q53+Q54+Q55+Q52</f>
        <v>36623.180000000008</v>
      </c>
    </row>
    <row r="58" spans="1:17" x14ac:dyDescent="0.25">
      <c r="A58" s="4"/>
      <c r="B58" s="4"/>
      <c r="C58" s="10" t="s">
        <v>16</v>
      </c>
      <c r="D58" s="10"/>
      <c r="E58" s="39"/>
      <c r="F58" s="5"/>
      <c r="G58" s="7"/>
      <c r="H58" s="4"/>
      <c r="I58" s="7"/>
      <c r="J58" s="4"/>
      <c r="K58" s="7">
        <f>ROUND(K57*12,2)</f>
        <v>439478.16</v>
      </c>
      <c r="L58" s="17"/>
      <c r="M58" s="15"/>
      <c r="N58" s="17"/>
      <c r="O58" s="15"/>
      <c r="P58" s="4"/>
      <c r="Q58" s="7">
        <f>ROUND(Q57*12,2)</f>
        <v>439478.16</v>
      </c>
    </row>
    <row r="59" spans="1:17" ht="30" x14ac:dyDescent="0.25">
      <c r="A59" s="3">
        <v>5</v>
      </c>
      <c r="B59" s="6" t="s">
        <v>20</v>
      </c>
      <c r="C59" s="6" t="s">
        <v>10</v>
      </c>
      <c r="D59" s="37">
        <v>8.3000000000000004E-2</v>
      </c>
      <c r="E59" s="39">
        <f>ROUND(8216*1.043*1.038*1.01*D59,2)</f>
        <v>745.66</v>
      </c>
      <c r="F59" s="20">
        <v>8.3000000000000004E-2</v>
      </c>
      <c r="G59" s="39">
        <f>ROUND(8216*1.043*1.038*1.01*F59,2)</f>
        <v>745.66</v>
      </c>
      <c r="H59" s="20">
        <v>8.3000000000000004E-2</v>
      </c>
      <c r="I59" s="39">
        <f>ROUND(8216*1.043*1.038*1.01*H59,2)</f>
        <v>745.66</v>
      </c>
      <c r="J59" s="20">
        <v>8.3000000000000004E-2</v>
      </c>
      <c r="K59" s="39">
        <f>ROUND(8216*1.043*1.038*1.01*J59,2)</f>
        <v>745.66</v>
      </c>
      <c r="L59" s="20">
        <v>8.3000000000000004E-2</v>
      </c>
      <c r="M59" s="39">
        <f>ROUND(8216*1.043*1.038*1.01*L59,2)</f>
        <v>745.66</v>
      </c>
      <c r="N59" s="21">
        <v>8.3000000000000004E-2</v>
      </c>
      <c r="O59" s="39">
        <f>ROUND(8216*1.043*1.038*1.01*N59,2)</f>
        <v>745.66</v>
      </c>
      <c r="P59" s="20">
        <v>8.3000000000000004E-2</v>
      </c>
      <c r="Q59" s="39">
        <f>ROUND(8216*1.043*1.038*1.01*P59,2)</f>
        <v>745.66</v>
      </c>
    </row>
    <row r="60" spans="1:17" ht="45" x14ac:dyDescent="0.25">
      <c r="A60" s="4"/>
      <c r="B60" s="4"/>
      <c r="C60" s="6" t="s">
        <v>50</v>
      </c>
      <c r="D60" s="6"/>
      <c r="E60" s="39">
        <f>ROUND(E59*0.3,2)</f>
        <v>223.7</v>
      </c>
      <c r="F60" s="5"/>
      <c r="G60" s="7">
        <f>ROUND(G59*0.3,2)</f>
        <v>223.7</v>
      </c>
      <c r="H60" s="4"/>
      <c r="I60" s="7">
        <f>ROUND(I59*0.3,2)</f>
        <v>223.7</v>
      </c>
      <c r="J60" s="17"/>
      <c r="K60" s="7">
        <f>ROUND(K59*0.3,2)</f>
        <v>223.7</v>
      </c>
      <c r="L60" s="17"/>
      <c r="M60" s="15">
        <f>ROUND(M59*0.3,2)</f>
        <v>223.7</v>
      </c>
      <c r="N60" s="17"/>
      <c r="O60" s="15">
        <f>ROUND(O59*0.3,2)</f>
        <v>223.7</v>
      </c>
      <c r="P60" s="17"/>
      <c r="Q60" s="7">
        <f>ROUND(Q59*0.3,2)</f>
        <v>223.7</v>
      </c>
    </row>
    <row r="61" spans="1:17" ht="45" x14ac:dyDescent="0.25">
      <c r="A61" s="4"/>
      <c r="B61" s="4"/>
      <c r="C61" s="6" t="s">
        <v>51</v>
      </c>
      <c r="D61" s="6"/>
      <c r="E61" s="39"/>
      <c r="F61" s="5"/>
      <c r="G61" s="7"/>
      <c r="H61" s="4"/>
      <c r="I61" s="7"/>
      <c r="J61" s="17"/>
      <c r="K61" s="7">
        <f>ROUND((K59+K60)*0.2,2)</f>
        <v>193.87</v>
      </c>
      <c r="L61" s="17"/>
      <c r="M61" s="15"/>
      <c r="N61" s="17"/>
      <c r="O61" s="15"/>
      <c r="P61" s="17"/>
      <c r="Q61" s="7">
        <f>ROUND((Q59+Q60)*0.2,2)</f>
        <v>193.87</v>
      </c>
    </row>
    <row r="62" spans="1:17" ht="60" x14ac:dyDescent="0.25">
      <c r="A62" s="4"/>
      <c r="B62" s="4"/>
      <c r="C62" s="6" t="s">
        <v>55</v>
      </c>
      <c r="D62" s="6"/>
      <c r="E62" s="39">
        <f>ROUND((E59+E60)*0.3,2)</f>
        <v>290.81</v>
      </c>
      <c r="F62" s="5"/>
      <c r="G62" s="7">
        <f>ROUND((G59+G60)*0.3,2)</f>
        <v>290.81</v>
      </c>
      <c r="H62" s="4"/>
      <c r="I62" s="7">
        <f>ROUND((I59+I60)*0.3,2)</f>
        <v>290.81</v>
      </c>
      <c r="J62" s="17"/>
      <c r="K62" s="7">
        <f>ROUND((K59+K60)*0.3,2)</f>
        <v>290.81</v>
      </c>
      <c r="L62" s="17"/>
      <c r="M62" s="15">
        <f>ROUND((M59+M60)*0.3,2)</f>
        <v>290.81</v>
      </c>
      <c r="N62" s="17"/>
      <c r="O62" s="15">
        <f>ROUND((O59+O60)*0.3,2)</f>
        <v>290.81</v>
      </c>
      <c r="P62" s="17"/>
      <c r="Q62" s="7">
        <f>ROUND((Q59+Q60)*0.3,2)</f>
        <v>290.81</v>
      </c>
    </row>
    <row r="63" spans="1:17" ht="45" x14ac:dyDescent="0.25">
      <c r="A63" s="4"/>
      <c r="B63" s="4"/>
      <c r="C63" s="6" t="s">
        <v>11</v>
      </c>
      <c r="D63" s="6"/>
      <c r="E63" s="39">
        <f>ROUND((E59+E60)*0.05,2)</f>
        <v>48.47</v>
      </c>
      <c r="F63" s="7"/>
      <c r="G63" s="7">
        <f>ROUND((G59+G60)*0.05,2)</f>
        <v>48.47</v>
      </c>
      <c r="H63" s="7"/>
      <c r="I63" s="7">
        <f>ROUND((I59+I60)*0.05,2)</f>
        <v>48.47</v>
      </c>
      <c r="J63" s="7"/>
      <c r="K63" s="7">
        <f>ROUND((K59+K60)*0.05,2)</f>
        <v>48.47</v>
      </c>
      <c r="L63" s="7"/>
      <c r="M63" s="7">
        <f>ROUND((M59+M60)*0.05,2)</f>
        <v>48.47</v>
      </c>
      <c r="N63" s="7"/>
      <c r="O63" s="7">
        <f>ROUND((O59+O60)*0.05,2)</f>
        <v>48.47</v>
      </c>
      <c r="P63" s="7"/>
      <c r="Q63" s="7">
        <f>ROUND((Q59+Q60)*0.05,2)</f>
        <v>48.47</v>
      </c>
    </row>
    <row r="64" spans="1:17" ht="45" x14ac:dyDescent="0.25">
      <c r="A64" s="4"/>
      <c r="B64" s="4"/>
      <c r="C64" s="6" t="s">
        <v>52</v>
      </c>
      <c r="D64" s="6"/>
      <c r="E64" s="39">
        <f>ROUND(E59*0.4,2)</f>
        <v>298.26</v>
      </c>
      <c r="F64" s="7"/>
      <c r="G64" s="7">
        <f>ROUND(G59*0.4,2)</f>
        <v>298.26</v>
      </c>
      <c r="H64" s="7"/>
      <c r="I64" s="7">
        <f t="shared" ref="I64:Q64" si="27">ROUND(I59*0.4,2)</f>
        <v>298.26</v>
      </c>
      <c r="J64" s="7"/>
      <c r="K64" s="7">
        <f t="shared" si="27"/>
        <v>298.26</v>
      </c>
      <c r="L64" s="7"/>
      <c r="M64" s="7">
        <f t="shared" si="27"/>
        <v>298.26</v>
      </c>
      <c r="N64" s="7"/>
      <c r="O64" s="7">
        <f t="shared" si="27"/>
        <v>298.26</v>
      </c>
      <c r="P64" s="7"/>
      <c r="Q64" s="7">
        <f t="shared" si="27"/>
        <v>298.26</v>
      </c>
    </row>
    <row r="65" spans="1:17" ht="52.5" customHeight="1" x14ac:dyDescent="0.25">
      <c r="A65" s="4"/>
      <c r="B65" s="4"/>
      <c r="C65" s="6" t="s">
        <v>62</v>
      </c>
      <c r="D65" s="6"/>
      <c r="E65" s="39">
        <f>ROUND(E59*0.2,2)</f>
        <v>149.13</v>
      </c>
      <c r="F65" s="7"/>
      <c r="G65" s="7">
        <f>ROUND(G59*0.4,2)</f>
        <v>298.26</v>
      </c>
      <c r="H65" s="7"/>
      <c r="I65" s="7">
        <f>ROUND(I59*0.4,2)</f>
        <v>298.26</v>
      </c>
      <c r="J65" s="7"/>
      <c r="K65" s="7">
        <f>ROUND(K59*0.4,2)</f>
        <v>298.26</v>
      </c>
      <c r="L65" s="7"/>
      <c r="M65" s="7">
        <f>ROUND(M59*0.4,2)</f>
        <v>298.26</v>
      </c>
      <c r="N65" s="7"/>
      <c r="O65" s="7">
        <f>ROUND(O59*0.4,2)</f>
        <v>298.26</v>
      </c>
      <c r="P65" s="7"/>
      <c r="Q65" s="7">
        <f>ROUND(Q59*0.4,2)</f>
        <v>298.26</v>
      </c>
    </row>
    <row r="66" spans="1:17" x14ac:dyDescent="0.25">
      <c r="A66" s="4"/>
      <c r="B66" s="4"/>
      <c r="C66" s="4" t="s">
        <v>12</v>
      </c>
      <c r="D66" s="4"/>
      <c r="E66" s="7">
        <f>ROUND((E59+E60+F61+E62+E63+E64+E65)*0.05,2)</f>
        <v>87.8</v>
      </c>
      <c r="F66" s="7"/>
      <c r="G66" s="7">
        <f>ROUND((G59+G60+H61+G62+G63+G64+G65)*0.05,2)</f>
        <v>95.26</v>
      </c>
      <c r="H66" s="7"/>
      <c r="I66" s="7">
        <f>ROUND((I59+I60+J61+I62+I63+I64+I65)*0.05,2)</f>
        <v>95.26</v>
      </c>
      <c r="J66" s="7"/>
      <c r="K66" s="7">
        <f t="shared" ref="K66:Q66" si="28">ROUND((K59+K60+L61+K62+K63+K64+K65)*0.05,2)</f>
        <v>95.26</v>
      </c>
      <c r="L66" s="7"/>
      <c r="M66" s="7">
        <f t="shared" si="28"/>
        <v>95.26</v>
      </c>
      <c r="N66" s="7"/>
      <c r="O66" s="7">
        <f t="shared" si="28"/>
        <v>95.26</v>
      </c>
      <c r="P66" s="7"/>
      <c r="Q66" s="7">
        <f t="shared" si="28"/>
        <v>95.26</v>
      </c>
    </row>
    <row r="67" spans="1:17" x14ac:dyDescent="0.25">
      <c r="A67" s="4"/>
      <c r="B67" s="4"/>
      <c r="C67" s="4" t="s">
        <v>13</v>
      </c>
      <c r="D67" s="4"/>
      <c r="E67" s="3">
        <f>ROUND((E59+E60+E61+E62+E63+E64+E65)*0.01,2)</f>
        <v>17.559999999999999</v>
      </c>
      <c r="F67" s="3"/>
      <c r="G67" s="3">
        <f>ROUND((G59+G60+G61+G62+G63+G64+G65)*0.01,2)</f>
        <v>19.05</v>
      </c>
      <c r="H67" s="3"/>
      <c r="I67" s="3">
        <f>ROUND((I59+I60+I61+I62+I63+I64+I65)*0.01,2)</f>
        <v>19.05</v>
      </c>
      <c r="J67" s="3"/>
      <c r="K67" s="3">
        <f t="shared" ref="K67:Q67" si="29">ROUND((K59+K60+K61+K62+K63+K64+K65)*0.01,2)</f>
        <v>20.99</v>
      </c>
      <c r="L67" s="3"/>
      <c r="M67" s="3">
        <f t="shared" si="29"/>
        <v>19.05</v>
      </c>
      <c r="N67" s="3"/>
      <c r="O67" s="3">
        <f t="shared" si="29"/>
        <v>19.05</v>
      </c>
      <c r="P67" s="3"/>
      <c r="Q67" s="3">
        <f t="shared" si="29"/>
        <v>20.99</v>
      </c>
    </row>
    <row r="68" spans="1:17" ht="30" x14ac:dyDescent="0.25">
      <c r="A68" s="4"/>
      <c r="B68" s="4"/>
      <c r="C68" s="6" t="s">
        <v>14</v>
      </c>
      <c r="D68" s="6"/>
      <c r="E68" s="39">
        <f>ROUND((E59+E60+E61+E62+E63+E64+E66+E67+E65)*0.302,2)</f>
        <v>562.14</v>
      </c>
      <c r="F68" s="11"/>
      <c r="G68" s="11">
        <f>ROUND((G59+G60+G61+G62+G63+G64+G66+G67+G65)*0.302,2)</f>
        <v>609.88</v>
      </c>
      <c r="H68" s="11"/>
      <c r="I68" s="11">
        <f>ROUND((I59+I60+I61+I62+I63+I64+I66+I67+I65)*0.302,2)</f>
        <v>609.88</v>
      </c>
      <c r="J68" s="11"/>
      <c r="K68" s="11">
        <f t="shared" ref="K68:Q68" si="30">ROUND((K59+K60+K61+K62+K63+K64+K66+K67+K65)*0.302,2)</f>
        <v>669.01</v>
      </c>
      <c r="L68" s="11"/>
      <c r="M68" s="11">
        <f t="shared" si="30"/>
        <v>609.88</v>
      </c>
      <c r="N68" s="11"/>
      <c r="O68" s="11">
        <f t="shared" si="30"/>
        <v>609.88</v>
      </c>
      <c r="P68" s="11"/>
      <c r="Q68" s="11">
        <f t="shared" si="30"/>
        <v>669.01</v>
      </c>
    </row>
    <row r="69" spans="1:17" ht="30" x14ac:dyDescent="0.25">
      <c r="A69" s="4"/>
      <c r="B69" s="4"/>
      <c r="C69" s="6" t="s">
        <v>49</v>
      </c>
      <c r="D69" s="6"/>
      <c r="E69" s="3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0" t="s">
        <v>15</v>
      </c>
      <c r="D70" s="10"/>
      <c r="E70" s="39">
        <f>E59+E60+E61+E62+E63+E64+E66+E67+E68+E65</f>
        <v>2423.5299999999997</v>
      </c>
      <c r="F70" s="7"/>
      <c r="G70" s="7">
        <f>G59+G60+G61+G62+G63+G64+G66+G67+G68+G65</f>
        <v>2629.3499999999995</v>
      </c>
      <c r="H70" s="7"/>
      <c r="I70" s="7">
        <f>I59+I60+I61+I62+I63+I64+I66+I67+I68+I65</f>
        <v>2629.3499999999995</v>
      </c>
      <c r="J70" s="7"/>
      <c r="K70" s="7">
        <f t="shared" ref="K70:Q70" si="31">K59+K60+K61+K62+K63+K64+K66+K67+K68+K65</f>
        <v>2884.29</v>
      </c>
      <c r="L70" s="7"/>
      <c r="M70" s="7">
        <f t="shared" si="31"/>
        <v>2629.3499999999995</v>
      </c>
      <c r="N70" s="7"/>
      <c r="O70" s="7">
        <f t="shared" si="31"/>
        <v>2629.3499999999995</v>
      </c>
      <c r="P70" s="7"/>
      <c r="Q70" s="7">
        <f t="shared" si="31"/>
        <v>2884.29</v>
      </c>
    </row>
    <row r="71" spans="1:17" x14ac:dyDescent="0.25">
      <c r="A71" s="4"/>
      <c r="B71" s="4"/>
      <c r="C71" s="10" t="s">
        <v>16</v>
      </c>
      <c r="D71" s="10"/>
      <c r="E71" s="39">
        <f>ROUND(E70*12,2)</f>
        <v>29082.36</v>
      </c>
      <c r="F71" s="5"/>
      <c r="G71" s="7">
        <f>ROUND(G70*12,2)</f>
        <v>31552.2</v>
      </c>
      <c r="H71" s="4"/>
      <c r="I71" s="7">
        <f>ROUND(I70*12,2)</f>
        <v>31552.2</v>
      </c>
      <c r="J71" s="17"/>
      <c r="K71" s="7">
        <f>ROUND(K70*12,2)</f>
        <v>34611.480000000003</v>
      </c>
      <c r="L71" s="17"/>
      <c r="M71" s="15">
        <f>ROUND(M70*12,2)</f>
        <v>31552.2</v>
      </c>
      <c r="N71" s="17"/>
      <c r="O71" s="15">
        <f>ROUND(O70*12,2)</f>
        <v>31552.2</v>
      </c>
      <c r="P71" s="17"/>
      <c r="Q71" s="7">
        <f>ROUND(Q70*12,2)</f>
        <v>34611.480000000003</v>
      </c>
    </row>
    <row r="72" spans="1:17" ht="30" x14ac:dyDescent="0.25">
      <c r="A72" s="3">
        <v>6</v>
      </c>
      <c r="B72" s="6" t="s">
        <v>7</v>
      </c>
      <c r="C72" s="6" t="s">
        <v>10</v>
      </c>
      <c r="D72" s="37">
        <v>1</v>
      </c>
      <c r="E72" s="39">
        <f>ROUND(5194*D72*1.043*1.038*1.01,0)</f>
        <v>5679</v>
      </c>
      <c r="F72" s="18">
        <v>1.25</v>
      </c>
      <c r="G72" s="39">
        <f>ROUND(5194*F72*1.043*1.038*1.01,0)</f>
        <v>7099</v>
      </c>
      <c r="H72" s="18">
        <v>1.25</v>
      </c>
      <c r="I72" s="39">
        <f>ROUND(5194*H72*1.043*1.038*1.01,0)</f>
        <v>7099</v>
      </c>
      <c r="J72" s="18">
        <v>1.25</v>
      </c>
      <c r="K72" s="39">
        <f>ROUND(5194*J72*1.043*1.038*1.01,0)</f>
        <v>7099</v>
      </c>
      <c r="L72" s="18">
        <v>1.5</v>
      </c>
      <c r="M72" s="39">
        <f>ROUND(5194*L72*1.043*1.038*1.01,0)</f>
        <v>8519</v>
      </c>
      <c r="N72" s="18">
        <v>1.25</v>
      </c>
      <c r="O72" s="39">
        <f>ROUND(5194*N72*1.043*1.038*1.01,0)</f>
        <v>7099</v>
      </c>
      <c r="P72" s="18">
        <v>1.25</v>
      </c>
      <c r="Q72" s="39">
        <f>ROUND(5194*P72*1.043*1.038*1.01,0)</f>
        <v>7099</v>
      </c>
    </row>
    <row r="73" spans="1:17" ht="30" x14ac:dyDescent="0.25">
      <c r="A73" s="3"/>
      <c r="B73" s="6"/>
      <c r="C73" s="6" t="s">
        <v>53</v>
      </c>
      <c r="D73" s="37"/>
      <c r="E73" s="39"/>
      <c r="F73" s="18"/>
      <c r="G73" s="7"/>
      <c r="H73" s="18"/>
      <c r="I73" s="7"/>
      <c r="J73" s="18"/>
      <c r="K73" s="7">
        <f>ROUND(K72*0.2,2)</f>
        <v>1419.8</v>
      </c>
      <c r="L73" s="18"/>
      <c r="M73" s="15"/>
      <c r="N73" s="18"/>
      <c r="O73" s="15"/>
      <c r="P73" s="18"/>
      <c r="Q73" s="7">
        <f>ROUND(Q72*0.2,2)</f>
        <v>1419.8</v>
      </c>
    </row>
    <row r="74" spans="1:17" ht="45" x14ac:dyDescent="0.25">
      <c r="A74" s="4"/>
      <c r="B74" s="4"/>
      <c r="C74" s="6" t="s">
        <v>54</v>
      </c>
      <c r="D74" s="37"/>
      <c r="E74" s="39">
        <f>ROUND(E72*0.3,0)</f>
        <v>1704</v>
      </c>
      <c r="F74" s="4"/>
      <c r="G74" s="7">
        <f>ROUND(G72*0.3,0)</f>
        <v>2130</v>
      </c>
      <c r="H74" s="4"/>
      <c r="I74" s="7">
        <f>ROUND(I72*0.3,0)</f>
        <v>2130</v>
      </c>
      <c r="J74" s="17"/>
      <c r="K74" s="7">
        <f>ROUND(K72*0.3,0)</f>
        <v>2130</v>
      </c>
      <c r="L74" s="17"/>
      <c r="M74" s="15">
        <f>ROUND(M72*0.3,0)</f>
        <v>2556</v>
      </c>
      <c r="N74" s="17"/>
      <c r="O74" s="15">
        <f>ROUND(O72*0.3,0)</f>
        <v>2130</v>
      </c>
      <c r="P74" s="17"/>
      <c r="Q74" s="7">
        <f>ROUND(Q72*0.3,0)</f>
        <v>2130</v>
      </c>
    </row>
    <row r="75" spans="1:17" ht="45" x14ac:dyDescent="0.25">
      <c r="A75" s="4"/>
      <c r="B75" s="4"/>
      <c r="C75" s="6" t="s">
        <v>11</v>
      </c>
      <c r="D75" s="37"/>
      <c r="E75" s="39">
        <f t="shared" ref="E75" si="32">ROUND((E72)*0.05,2)</f>
        <v>283.95</v>
      </c>
      <c r="F75" s="7"/>
      <c r="G75" s="7">
        <f t="shared" ref="G75:Q75" si="33">ROUND((G72)*0.05,2)</f>
        <v>354.95</v>
      </c>
      <c r="H75" s="7"/>
      <c r="I75" s="7">
        <f t="shared" si="33"/>
        <v>354.95</v>
      </c>
      <c r="J75" s="7"/>
      <c r="K75" s="7">
        <f t="shared" si="33"/>
        <v>354.95</v>
      </c>
      <c r="L75" s="7"/>
      <c r="M75" s="7">
        <f t="shared" si="33"/>
        <v>425.95</v>
      </c>
      <c r="N75" s="7"/>
      <c r="O75" s="7">
        <f t="shared" si="33"/>
        <v>354.95</v>
      </c>
      <c r="P75" s="7"/>
      <c r="Q75" s="7">
        <f t="shared" si="33"/>
        <v>354.95</v>
      </c>
    </row>
    <row r="76" spans="1:17" ht="30.75" customHeight="1" x14ac:dyDescent="0.25">
      <c r="A76" s="4"/>
      <c r="B76" s="4"/>
      <c r="C76" s="6" t="s">
        <v>34</v>
      </c>
      <c r="D76" s="37"/>
      <c r="E76" s="39">
        <f t="shared" ref="E76" si="34">ROUND(E72*0.2,2)</f>
        <v>1135.8</v>
      </c>
      <c r="F76" s="7"/>
      <c r="G76" s="7">
        <f t="shared" ref="G76:Q76" si="35">ROUND(G72*0.2,2)</f>
        <v>1419.8</v>
      </c>
      <c r="H76" s="7"/>
      <c r="I76" s="7">
        <f t="shared" si="35"/>
        <v>1419.8</v>
      </c>
      <c r="J76" s="7"/>
      <c r="K76" s="7">
        <f t="shared" si="35"/>
        <v>1419.8</v>
      </c>
      <c r="L76" s="7"/>
      <c r="M76" s="7">
        <f t="shared" si="35"/>
        <v>1703.8</v>
      </c>
      <c r="N76" s="7"/>
      <c r="O76" s="7">
        <f t="shared" si="35"/>
        <v>1419.8</v>
      </c>
      <c r="P76" s="7"/>
      <c r="Q76" s="7">
        <f t="shared" si="35"/>
        <v>1419.8</v>
      </c>
    </row>
    <row r="77" spans="1:17" x14ac:dyDescent="0.25">
      <c r="A77" s="4"/>
      <c r="B77" s="4"/>
      <c r="C77" s="4" t="s">
        <v>12</v>
      </c>
      <c r="D77" s="3"/>
      <c r="E77" s="7">
        <f t="shared" ref="E77" si="36">ROUND((E72+E73+E74+E75+E76)*0.05,0)</f>
        <v>440</v>
      </c>
      <c r="F77" s="7"/>
      <c r="G77" s="7">
        <f t="shared" ref="G77:Q77" si="37">ROUND((G72+G73+G74+G75+G76)*0.05,0)</f>
        <v>550</v>
      </c>
      <c r="H77" s="7"/>
      <c r="I77" s="7">
        <f t="shared" si="37"/>
        <v>550</v>
      </c>
      <c r="J77" s="7"/>
      <c r="K77" s="7">
        <f t="shared" si="37"/>
        <v>621</v>
      </c>
      <c r="L77" s="7"/>
      <c r="M77" s="7">
        <f t="shared" si="37"/>
        <v>660</v>
      </c>
      <c r="N77" s="7"/>
      <c r="O77" s="7">
        <f t="shared" si="37"/>
        <v>550</v>
      </c>
      <c r="P77" s="7"/>
      <c r="Q77" s="7">
        <f t="shared" si="37"/>
        <v>621</v>
      </c>
    </row>
    <row r="78" spans="1:17" x14ac:dyDescent="0.25">
      <c r="A78" s="4"/>
      <c r="B78" s="4"/>
      <c r="C78" s="4" t="s">
        <v>13</v>
      </c>
      <c r="D78" s="3"/>
      <c r="E78" s="7">
        <f t="shared" ref="E78" si="38">ROUND((E72+E73+E74+E75+E76)*0.01,2)</f>
        <v>88.03</v>
      </c>
      <c r="F78" s="7"/>
      <c r="G78" s="7">
        <f t="shared" ref="G78:Q78" si="39">ROUND((G72+G73+G74+G75+G76)*0.01,2)</f>
        <v>110.04</v>
      </c>
      <c r="H78" s="7"/>
      <c r="I78" s="7">
        <f t="shared" si="39"/>
        <v>110.04</v>
      </c>
      <c r="J78" s="7"/>
      <c r="K78" s="7">
        <f t="shared" si="39"/>
        <v>124.24</v>
      </c>
      <c r="L78" s="7"/>
      <c r="M78" s="7">
        <f t="shared" si="39"/>
        <v>132.05000000000001</v>
      </c>
      <c r="N78" s="7"/>
      <c r="O78" s="7">
        <f t="shared" si="39"/>
        <v>110.04</v>
      </c>
      <c r="P78" s="7"/>
      <c r="Q78" s="7">
        <f t="shared" si="39"/>
        <v>124.24</v>
      </c>
    </row>
    <row r="79" spans="1:17" x14ac:dyDescent="0.25">
      <c r="A79" s="4"/>
      <c r="B79" s="4"/>
      <c r="C79" s="4" t="s">
        <v>32</v>
      </c>
      <c r="D79" s="3"/>
      <c r="E79" s="7">
        <f>ROUND((11280-(E72+E73+E74+E75+E77+E76)/D72)*D72,2)</f>
        <v>2037.25</v>
      </c>
      <c r="F79" s="7"/>
      <c r="G79" s="7">
        <f>ROUND((11280-(G72+G73+G74+G75+G77+G76)/F72)*F72,2)</f>
        <v>2546.25</v>
      </c>
      <c r="H79" s="7"/>
      <c r="I79" s="7">
        <f>ROUND((11280-(I72+I73+I74+I75+I77+I76)/H72)*H72,2)</f>
        <v>2546.25</v>
      </c>
      <c r="J79" s="7"/>
      <c r="K79" s="7">
        <f>ROUND((11280-(K72+K73+K74+K75+K77+K76)/J72)*J72,2)</f>
        <v>1055.45</v>
      </c>
      <c r="L79" s="7"/>
      <c r="M79" s="7">
        <f>ROUND((11280-(M72+M73+M74+M75+M77+M76)/L72)*L72,2)</f>
        <v>3055.25</v>
      </c>
      <c r="N79" s="7"/>
      <c r="O79" s="7">
        <f>ROUND((11280-(O72+O73+O74+O75+O77+O76)/N72)*N72,2)</f>
        <v>2546.25</v>
      </c>
      <c r="P79" s="7"/>
      <c r="Q79" s="7">
        <f>ROUND((11280-(Q72+Q73+Q74+Q75+Q77+Q76)/P72)*P72,2)</f>
        <v>1055.45</v>
      </c>
    </row>
    <row r="80" spans="1:17" x14ac:dyDescent="0.25">
      <c r="A80" s="4"/>
      <c r="B80" s="4"/>
      <c r="C80" s="4" t="s">
        <v>33</v>
      </c>
      <c r="D80" s="3"/>
      <c r="E80" s="7">
        <f t="shared" ref="E80" si="40">ROUND(9489/29.3*28*D72/365*28,2)</f>
        <v>695.63</v>
      </c>
      <c r="F80" s="7"/>
      <c r="G80" s="7">
        <f>ROUND(11280/29.3*28*F72/365*28,2)</f>
        <v>1033.6500000000001</v>
      </c>
      <c r="H80" s="7"/>
      <c r="I80" s="7">
        <f>ROUND(11280/29.3*28*H72/365*28,2)</f>
        <v>1033.6500000000001</v>
      </c>
      <c r="J80" s="7"/>
      <c r="K80" s="7">
        <f>ROUND(11280/29.3*28*J72/365*28,2)</f>
        <v>1033.6500000000001</v>
      </c>
      <c r="L80" s="7"/>
      <c r="M80" s="7">
        <f>ROUND(11280/29.3*28*L72/365*28,2)</f>
        <v>1240.3800000000001</v>
      </c>
      <c r="N80" s="7"/>
      <c r="O80" s="7">
        <f>ROUND(11280/29.3*28*N72/365*28,2)</f>
        <v>1033.6500000000001</v>
      </c>
      <c r="P80" s="7"/>
      <c r="Q80" s="7">
        <f>ROUND(11280/29.3*28*P72/365*28,2)</f>
        <v>1033.6500000000001</v>
      </c>
    </row>
    <row r="81" spans="1:17" ht="30" x14ac:dyDescent="0.25">
      <c r="A81" s="4"/>
      <c r="B81" s="4"/>
      <c r="C81" s="6" t="s">
        <v>14</v>
      </c>
      <c r="D81" s="37"/>
      <c r="E81" s="39">
        <f t="shared" ref="E81" si="41">ROUND((E72+E73+E74+E75+E77+E78+E79+E80+E76)*0.302,0)</f>
        <v>3643</v>
      </c>
      <c r="F81" s="7"/>
      <c r="G81" s="7">
        <f t="shared" ref="G81:Q81" si="42">ROUND((G72+G73+G74+G75+G77+G78+G79+G80+G76)*0.302,0)</f>
        <v>4604</v>
      </c>
      <c r="H81" s="7"/>
      <c r="I81" s="7">
        <f t="shared" si="42"/>
        <v>4604</v>
      </c>
      <c r="J81" s="7"/>
      <c r="K81" s="7">
        <f t="shared" si="42"/>
        <v>4608</v>
      </c>
      <c r="L81" s="7"/>
      <c r="M81" s="7">
        <f t="shared" si="42"/>
        <v>5524</v>
      </c>
      <c r="N81" s="7"/>
      <c r="O81" s="7">
        <f t="shared" si="42"/>
        <v>4604</v>
      </c>
      <c r="P81" s="7"/>
      <c r="Q81" s="7">
        <f t="shared" si="42"/>
        <v>4608</v>
      </c>
    </row>
    <row r="82" spans="1:17" ht="30" x14ac:dyDescent="0.25">
      <c r="A82" s="4"/>
      <c r="B82" s="4"/>
      <c r="C82" s="6" t="s">
        <v>25</v>
      </c>
      <c r="D82" s="37"/>
      <c r="E82" s="3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0" t="s">
        <v>15</v>
      </c>
      <c r="D83" s="38"/>
      <c r="E83" s="39">
        <f t="shared" ref="E83" si="43">E72+E73+E74+E75+E77+E78+E81+E79+E80+E76</f>
        <v>15706.659999999998</v>
      </c>
      <c r="F83" s="7"/>
      <c r="G83" s="7">
        <f t="shared" ref="G83:Q83" si="44">G72+G73+G74+G75+G77+G78+G81+G79+G80+G76</f>
        <v>19847.690000000002</v>
      </c>
      <c r="H83" s="7"/>
      <c r="I83" s="7">
        <f t="shared" si="44"/>
        <v>19847.690000000002</v>
      </c>
      <c r="J83" s="7"/>
      <c r="K83" s="7">
        <f t="shared" si="44"/>
        <v>19865.89</v>
      </c>
      <c r="L83" s="7"/>
      <c r="M83" s="7">
        <f t="shared" si="44"/>
        <v>23816.43</v>
      </c>
      <c r="N83" s="7"/>
      <c r="O83" s="7">
        <f t="shared" si="44"/>
        <v>19847.690000000002</v>
      </c>
      <c r="P83" s="7"/>
      <c r="Q83" s="7">
        <f t="shared" si="44"/>
        <v>19865.89</v>
      </c>
    </row>
    <row r="84" spans="1:17" x14ac:dyDescent="0.25">
      <c r="A84" s="4"/>
      <c r="B84" s="4"/>
      <c r="C84" s="10" t="s">
        <v>16</v>
      </c>
      <c r="D84" s="38"/>
      <c r="E84" s="39">
        <f>ROUND(E83*12,0)</f>
        <v>188480</v>
      </c>
      <c r="F84" s="4"/>
      <c r="G84" s="7">
        <f>ROUND(G83*12,0)</f>
        <v>238172</v>
      </c>
      <c r="H84" s="4"/>
      <c r="I84" s="7">
        <f>ROUND(I83*12,0)</f>
        <v>238172</v>
      </c>
      <c r="J84" s="17"/>
      <c r="K84" s="7">
        <f>ROUND(K83*12,0)</f>
        <v>238391</v>
      </c>
      <c r="L84" s="17"/>
      <c r="M84" s="15">
        <f>ROUND(M83*12,0)</f>
        <v>285797</v>
      </c>
      <c r="N84" s="17"/>
      <c r="O84" s="15">
        <f>ROUND(O83*12,0)</f>
        <v>238172</v>
      </c>
      <c r="P84" s="17"/>
      <c r="Q84" s="7">
        <f>ROUND(Q83*12,0)</f>
        <v>238391</v>
      </c>
    </row>
    <row r="85" spans="1:17" ht="45.75" customHeight="1" x14ac:dyDescent="0.25">
      <c r="A85" s="3">
        <v>7</v>
      </c>
      <c r="B85" s="6" t="s">
        <v>36</v>
      </c>
      <c r="C85" s="6" t="s">
        <v>37</v>
      </c>
      <c r="D85" s="37">
        <v>1</v>
      </c>
      <c r="E85" s="39">
        <f>ROUND(3880*D85*1.043*1.038*1.01,0)</f>
        <v>4243</v>
      </c>
      <c r="F85" s="18">
        <v>1</v>
      </c>
      <c r="G85" s="39">
        <f>ROUND(3880*F85*1.043*1.038*1.01,0)</f>
        <v>4243</v>
      </c>
      <c r="H85" s="18">
        <v>1</v>
      </c>
      <c r="I85" s="39">
        <f>ROUND(3880*H85*1.043*1.038*1.01,0)</f>
        <v>4243</v>
      </c>
      <c r="J85" s="18">
        <v>1</v>
      </c>
      <c r="K85" s="39">
        <f>ROUND(3880*J85*1.043*1.038*1.01,0)</f>
        <v>4243</v>
      </c>
      <c r="L85" s="18">
        <v>1</v>
      </c>
      <c r="M85" s="39">
        <f>ROUND(3880*L85*1.043*1.038*1.01,0)</f>
        <v>4243</v>
      </c>
      <c r="N85" s="18">
        <v>1</v>
      </c>
      <c r="O85" s="39">
        <f>ROUND(3880*N85*1.043*1.038*1.01,0)</f>
        <v>4243</v>
      </c>
      <c r="P85" s="18">
        <v>1</v>
      </c>
      <c r="Q85" s="39">
        <f>ROUND(3880*P85*1.043*1.038*1.01,0)</f>
        <v>4243</v>
      </c>
    </row>
    <row r="86" spans="1:17" ht="45" x14ac:dyDescent="0.25">
      <c r="A86" s="4"/>
      <c r="B86" s="4"/>
      <c r="C86" s="6" t="s">
        <v>11</v>
      </c>
      <c r="D86" s="6"/>
      <c r="E86" s="39">
        <f t="shared" ref="E86" si="45">ROUND((E85)*0.05,2)</f>
        <v>212.15</v>
      </c>
      <c r="F86" s="7"/>
      <c r="G86" s="7">
        <f t="shared" ref="G86:Q86" si="46">ROUND((G85)*0.05,2)</f>
        <v>212.15</v>
      </c>
      <c r="H86" s="7"/>
      <c r="I86" s="7">
        <f t="shared" si="46"/>
        <v>212.15</v>
      </c>
      <c r="J86" s="7"/>
      <c r="K86" s="7">
        <f t="shared" si="46"/>
        <v>212.15</v>
      </c>
      <c r="L86" s="7"/>
      <c r="M86" s="7">
        <f t="shared" si="46"/>
        <v>212.15</v>
      </c>
      <c r="N86" s="7"/>
      <c r="O86" s="7">
        <f t="shared" si="46"/>
        <v>212.15</v>
      </c>
      <c r="P86" s="7"/>
      <c r="Q86" s="7">
        <f t="shared" si="46"/>
        <v>212.15</v>
      </c>
    </row>
    <row r="87" spans="1:17" ht="30.75" customHeight="1" x14ac:dyDescent="0.25">
      <c r="A87" s="4"/>
      <c r="B87" s="4"/>
      <c r="C87" s="6" t="s">
        <v>38</v>
      </c>
      <c r="D87" s="6"/>
      <c r="E87" s="39">
        <f t="shared" ref="E87" si="47">ROUND(E85*0.2,2)</f>
        <v>848.6</v>
      </c>
      <c r="F87" s="7"/>
      <c r="G87" s="7">
        <f t="shared" ref="G87:Q87" si="48">ROUND(G85*0.2,2)</f>
        <v>848.6</v>
      </c>
      <c r="H87" s="7"/>
      <c r="I87" s="7">
        <f t="shared" si="48"/>
        <v>848.6</v>
      </c>
      <c r="J87" s="7"/>
      <c r="K87" s="7">
        <f t="shared" si="48"/>
        <v>848.6</v>
      </c>
      <c r="L87" s="7"/>
      <c r="M87" s="7">
        <f t="shared" si="48"/>
        <v>848.6</v>
      </c>
      <c r="N87" s="7"/>
      <c r="O87" s="7">
        <f t="shared" si="48"/>
        <v>848.6</v>
      </c>
      <c r="P87" s="7"/>
      <c r="Q87" s="7">
        <f t="shared" si="48"/>
        <v>848.6</v>
      </c>
    </row>
    <row r="88" spans="1:17" x14ac:dyDescent="0.25">
      <c r="A88" s="4"/>
      <c r="B88" s="4"/>
      <c r="C88" s="4" t="s">
        <v>12</v>
      </c>
      <c r="D88" s="4"/>
      <c r="E88" s="7">
        <f t="shared" ref="E88" si="49">ROUND((E85+E86+E87)*0.05,0)</f>
        <v>265</v>
      </c>
      <c r="F88" s="7"/>
      <c r="G88" s="7">
        <f t="shared" ref="G88:Q88" si="50">ROUND((G85+G86+G87)*0.05,0)</f>
        <v>265</v>
      </c>
      <c r="H88" s="7"/>
      <c r="I88" s="7">
        <f t="shared" si="50"/>
        <v>265</v>
      </c>
      <c r="J88" s="7"/>
      <c r="K88" s="7">
        <f t="shared" si="50"/>
        <v>265</v>
      </c>
      <c r="L88" s="7"/>
      <c r="M88" s="7">
        <f t="shared" si="50"/>
        <v>265</v>
      </c>
      <c r="N88" s="7"/>
      <c r="O88" s="7">
        <f t="shared" si="50"/>
        <v>265</v>
      </c>
      <c r="P88" s="7"/>
      <c r="Q88" s="7">
        <f t="shared" si="50"/>
        <v>265</v>
      </c>
    </row>
    <row r="89" spans="1:17" x14ac:dyDescent="0.25">
      <c r="A89" s="4"/>
      <c r="B89" s="4"/>
      <c r="C89" s="4" t="s">
        <v>13</v>
      </c>
      <c r="D89" s="4"/>
      <c r="E89" s="7">
        <f t="shared" ref="E89" si="51">ROUND((E85+E86+E87)*0.01,2)</f>
        <v>53.04</v>
      </c>
      <c r="F89" s="7"/>
      <c r="G89" s="7">
        <f t="shared" ref="G89:Q89" si="52">ROUND((G85+G86+G87)*0.01,2)</f>
        <v>53.04</v>
      </c>
      <c r="H89" s="7"/>
      <c r="I89" s="7">
        <f t="shared" si="52"/>
        <v>53.04</v>
      </c>
      <c r="J89" s="7"/>
      <c r="K89" s="7">
        <f t="shared" si="52"/>
        <v>53.04</v>
      </c>
      <c r="L89" s="7"/>
      <c r="M89" s="7">
        <f t="shared" si="52"/>
        <v>53.04</v>
      </c>
      <c r="N89" s="7"/>
      <c r="O89" s="7">
        <f t="shared" si="52"/>
        <v>53.04</v>
      </c>
      <c r="P89" s="7"/>
      <c r="Q89" s="7">
        <f t="shared" si="52"/>
        <v>53.04</v>
      </c>
    </row>
    <row r="90" spans="1:17" x14ac:dyDescent="0.25">
      <c r="A90" s="4"/>
      <c r="B90" s="4"/>
      <c r="C90" s="4" t="s">
        <v>32</v>
      </c>
      <c r="D90" s="4"/>
      <c r="E90" s="7">
        <f>ROUND((11280-(E85+E86+E88+E87)/D85)*D85,2)</f>
        <v>5711.25</v>
      </c>
      <c r="F90" s="7"/>
      <c r="G90" s="7">
        <f>ROUND((11280-(G85+G86+G88+G87)/F85)*F85,2)</f>
        <v>5711.25</v>
      </c>
      <c r="H90" s="7"/>
      <c r="I90" s="7">
        <f>ROUND((11280-(I85+I86+I88+I87)/H85)*H85,2)</f>
        <v>5711.25</v>
      </c>
      <c r="J90" s="7"/>
      <c r="K90" s="7">
        <f>ROUND((11280-(K85+K86+K88+K87)/J85)*J85,2)</f>
        <v>5711.25</v>
      </c>
      <c r="L90" s="7"/>
      <c r="M90" s="7">
        <f>ROUND((11280-(M85+M86+M88+M87)/L85)*L85,2)</f>
        <v>5711.25</v>
      </c>
      <c r="N90" s="7"/>
      <c r="O90" s="7">
        <f>ROUND((11280-(O85+O86+O88+O87)/N85)*N85,2)</f>
        <v>5711.25</v>
      </c>
      <c r="P90" s="7"/>
      <c r="Q90" s="7">
        <f>ROUND((11280-(Q85+Q86+Q88+Q87)/P85)*P85,2)</f>
        <v>5711.25</v>
      </c>
    </row>
    <row r="91" spans="1:17" x14ac:dyDescent="0.25">
      <c r="A91" s="4"/>
      <c r="B91" s="4"/>
      <c r="C91" s="4" t="s">
        <v>33</v>
      </c>
      <c r="D91" s="4"/>
      <c r="E91" s="7">
        <f>ROUND(11280/29.3*28*D85/365*28,2)</f>
        <v>826.92</v>
      </c>
      <c r="F91" s="7"/>
      <c r="G91" s="7">
        <f>ROUND(11280/29.3*28*F85/365*28,2)</f>
        <v>826.92</v>
      </c>
      <c r="H91" s="7"/>
      <c r="I91" s="7">
        <f>ROUND(11280/29.3*28*H85/365*28,2)</f>
        <v>826.92</v>
      </c>
      <c r="J91" s="7"/>
      <c r="K91" s="7">
        <f>ROUND(11280/29.3*28*J85/365*28,2)</f>
        <v>826.92</v>
      </c>
      <c r="L91" s="7"/>
      <c r="M91" s="7">
        <f>ROUND(11280/29.3*28*L85/365*28,2)</f>
        <v>826.92</v>
      </c>
      <c r="N91" s="7"/>
      <c r="O91" s="7">
        <f>ROUND(11280/29.3*28*N85/365*28,2)</f>
        <v>826.92</v>
      </c>
      <c r="P91" s="7"/>
      <c r="Q91" s="7">
        <f>ROUND(11280/29.3*28*P85/365*28,2)</f>
        <v>826.92</v>
      </c>
    </row>
    <row r="92" spans="1:17" ht="30" x14ac:dyDescent="0.25">
      <c r="A92" s="4"/>
      <c r="B92" s="4"/>
      <c r="C92" s="6" t="s">
        <v>14</v>
      </c>
      <c r="D92" s="6"/>
      <c r="E92" s="39">
        <f t="shared" ref="E92" si="53">ROUND((E85+E86+E88+E89+E90+E91+E87)*0.302,0)</f>
        <v>3672</v>
      </c>
      <c r="F92" s="7"/>
      <c r="G92" s="7">
        <f t="shared" ref="G92:Q92" si="54">ROUND((G85+G86+G88+G89+G90+G91+G87)*0.302,0)</f>
        <v>3672</v>
      </c>
      <c r="H92" s="7"/>
      <c r="I92" s="7">
        <f t="shared" si="54"/>
        <v>3672</v>
      </c>
      <c r="J92" s="7"/>
      <c r="K92" s="7">
        <f t="shared" si="54"/>
        <v>3672</v>
      </c>
      <c r="L92" s="7"/>
      <c r="M92" s="7">
        <f t="shared" si="54"/>
        <v>3672</v>
      </c>
      <c r="N92" s="7"/>
      <c r="O92" s="7">
        <f t="shared" si="54"/>
        <v>3672</v>
      </c>
      <c r="P92" s="7"/>
      <c r="Q92" s="7">
        <f t="shared" si="54"/>
        <v>3672</v>
      </c>
    </row>
    <row r="93" spans="1:17" ht="30" x14ac:dyDescent="0.25">
      <c r="A93" s="4"/>
      <c r="B93" s="4"/>
      <c r="C93" s="6" t="s">
        <v>39</v>
      </c>
      <c r="D93" s="6"/>
      <c r="E93" s="3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0" t="s">
        <v>15</v>
      </c>
      <c r="D94" s="10"/>
      <c r="E94" s="39">
        <f t="shared" ref="E94" si="55">E85+E86+E88+E89+E92+E90+E91+E87</f>
        <v>15831.96</v>
      </c>
      <c r="F94" s="7"/>
      <c r="G94" s="7">
        <f t="shared" ref="G94:Q94" si="56">G85+G86+G88+G89+G92+G90+G91+G87</f>
        <v>15831.96</v>
      </c>
      <c r="H94" s="7"/>
      <c r="I94" s="7">
        <f t="shared" si="56"/>
        <v>15831.96</v>
      </c>
      <c r="J94" s="7"/>
      <c r="K94" s="7">
        <f t="shared" si="56"/>
        <v>15831.96</v>
      </c>
      <c r="L94" s="7"/>
      <c r="M94" s="7">
        <f t="shared" si="56"/>
        <v>15831.96</v>
      </c>
      <c r="N94" s="7"/>
      <c r="O94" s="7">
        <f t="shared" si="56"/>
        <v>15831.96</v>
      </c>
      <c r="P94" s="7"/>
      <c r="Q94" s="7">
        <f t="shared" si="56"/>
        <v>15831.96</v>
      </c>
    </row>
    <row r="95" spans="1:17" x14ac:dyDescent="0.25">
      <c r="A95" s="4"/>
      <c r="B95" s="4"/>
      <c r="C95" s="10" t="s">
        <v>16</v>
      </c>
      <c r="D95" s="10"/>
      <c r="E95" s="39">
        <f t="shared" ref="E95" si="57">ROUND(E94*12,0)</f>
        <v>189984</v>
      </c>
      <c r="F95" s="7"/>
      <c r="G95" s="7">
        <f t="shared" ref="G95:Q95" si="58">ROUND(G94*12,0)</f>
        <v>189984</v>
      </c>
      <c r="H95" s="7"/>
      <c r="I95" s="7">
        <f t="shared" si="58"/>
        <v>189984</v>
      </c>
      <c r="J95" s="7"/>
      <c r="K95" s="7">
        <f t="shared" si="58"/>
        <v>189984</v>
      </c>
      <c r="L95" s="7"/>
      <c r="M95" s="7">
        <f t="shared" si="58"/>
        <v>189984</v>
      </c>
      <c r="N95" s="7"/>
      <c r="O95" s="7">
        <f t="shared" si="58"/>
        <v>189984</v>
      </c>
      <c r="P95" s="7"/>
      <c r="Q95" s="7">
        <f t="shared" si="58"/>
        <v>189984</v>
      </c>
    </row>
    <row r="96" spans="1:17" ht="19.5" customHeight="1" x14ac:dyDescent="0.25">
      <c r="A96" s="4"/>
      <c r="B96" s="63" t="s">
        <v>29</v>
      </c>
      <c r="C96" s="64"/>
      <c r="D96" s="53"/>
      <c r="E96" s="55"/>
      <c r="F96" s="4"/>
      <c r="G96" s="4"/>
      <c r="H96" s="4"/>
      <c r="I96" s="4"/>
      <c r="J96" s="4"/>
      <c r="K96" s="4"/>
      <c r="L96" s="4"/>
      <c r="M96" s="17"/>
      <c r="N96" s="17"/>
      <c r="O96" s="17"/>
      <c r="P96" s="4"/>
      <c r="Q96" s="4"/>
    </row>
    <row r="97" spans="1:19" ht="48.75" customHeight="1" x14ac:dyDescent="0.25">
      <c r="A97" s="4"/>
      <c r="B97" s="6"/>
      <c r="C97" s="6" t="s">
        <v>58</v>
      </c>
      <c r="D97" s="6"/>
      <c r="E97" s="39">
        <f>ROUND((E18+E32+E45+E58+E71+E84+E95)*0.192,2)</f>
        <v>195211.71</v>
      </c>
      <c r="F97" s="7"/>
      <c r="G97" s="7">
        <f>ROUND((G18+G32+G45+G58+G71+G84+G95)*0.192,2)</f>
        <v>218108.61</v>
      </c>
      <c r="H97" s="7"/>
      <c r="I97" s="7">
        <f>ROUND((I18+I32+I45+I58+I71+I84+I95)*0.192,2)</f>
        <v>226404.88</v>
      </c>
      <c r="J97" s="7"/>
      <c r="K97" s="7">
        <f>ROUND((K18+K32+K45+K58+K71+K84+K95)*0.192,2)</f>
        <v>384160.93</v>
      </c>
      <c r="L97" s="7"/>
      <c r="M97" s="7">
        <f>ROUND((M18+M32+M45+M58+M71+M84+M95)*0.192,2)</f>
        <v>276953.23</v>
      </c>
      <c r="N97" s="7"/>
      <c r="O97" s="7">
        <f>ROUND((O18+O32+O45+O58+O71+O84+O95)*0.192,2)</f>
        <v>276105.5</v>
      </c>
      <c r="P97" s="7"/>
      <c r="Q97" s="7">
        <f>ROUND((Q18+Q32+Q45+Q58+Q71+Q84+Q95)*0.192,2)</f>
        <v>420854.23</v>
      </c>
    </row>
    <row r="98" spans="1:19" ht="64.5" customHeight="1" x14ac:dyDescent="0.25">
      <c r="A98" s="4"/>
      <c r="B98" s="58" t="s">
        <v>31</v>
      </c>
      <c r="C98" s="62"/>
      <c r="D98" s="52"/>
      <c r="E98" s="40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60</v>
      </c>
      <c r="D99" s="6"/>
      <c r="E99" s="39">
        <f>ROUND((E18+E32+E45+E58+E71+E84+E95)*0.028,2)</f>
        <v>28468.38</v>
      </c>
      <c r="F99" s="7"/>
      <c r="G99" s="7">
        <f>ROUND((G18+G32+G45+G58+G71+G84+G95)*0.028,2)</f>
        <v>31807.51</v>
      </c>
      <c r="H99" s="7"/>
      <c r="I99" s="7">
        <f>ROUND((I18+I32+I45+I58+I71+I84+I95)*0.028,2)</f>
        <v>33017.379999999997</v>
      </c>
      <c r="J99" s="7"/>
      <c r="K99" s="7">
        <f>ROUND((K18+K32+K45+K58+K71+K84+K95)*0.028,2)</f>
        <v>56023.47</v>
      </c>
      <c r="L99" s="7"/>
      <c r="M99" s="7">
        <f>ROUND((M18+M32+M45+M58+M71+M84+M95)*0.028,2)</f>
        <v>40389.01</v>
      </c>
      <c r="N99" s="7"/>
      <c r="O99" s="7">
        <f>ROUND((O18+O32+O45+O58+O71+O84+O95)*0.028,2)</f>
        <v>40265.39</v>
      </c>
      <c r="P99" s="7"/>
      <c r="Q99" s="7">
        <f>ROUND((Q18+Q32+Q45+Q58+Q71+Q84+Q95)*0.028,2)</f>
        <v>61374.58</v>
      </c>
    </row>
    <row r="100" spans="1:19" ht="66.75" customHeight="1" x14ac:dyDescent="0.25">
      <c r="A100" s="4"/>
      <c r="B100" s="58" t="s">
        <v>35</v>
      </c>
      <c r="C100" s="62"/>
      <c r="D100" s="52"/>
      <c r="E100" s="4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59</v>
      </c>
      <c r="D101" s="6"/>
      <c r="E101" s="39">
        <f>ROUND((E18+E32+E45+E58+E71+E84+E95)*0.038,2)</f>
        <v>38635.65</v>
      </c>
      <c r="F101" s="7"/>
      <c r="G101" s="7">
        <f>ROUND((G18+G32+G45+G58+G71+G84+G95)*0.038,2)</f>
        <v>43167.33</v>
      </c>
      <c r="H101" s="7"/>
      <c r="I101" s="7">
        <f t="shared" ref="I101:Q101" si="59">ROUND((I18+I32+I45+I58+I71+I84+I95)*0.038,2)</f>
        <v>44809.3</v>
      </c>
      <c r="J101" s="7"/>
      <c r="K101" s="7">
        <f t="shared" si="59"/>
        <v>76031.850000000006</v>
      </c>
      <c r="L101" s="7"/>
      <c r="M101" s="7">
        <f t="shared" si="59"/>
        <v>54813.66</v>
      </c>
      <c r="N101" s="7"/>
      <c r="O101" s="7">
        <f t="shared" si="59"/>
        <v>54645.88</v>
      </c>
      <c r="P101" s="7"/>
      <c r="Q101" s="7">
        <f t="shared" si="59"/>
        <v>83294.070000000007</v>
      </c>
    </row>
    <row r="102" spans="1:19" ht="68.25" customHeight="1" x14ac:dyDescent="0.25">
      <c r="A102" s="4"/>
      <c r="B102" s="58" t="s">
        <v>30</v>
      </c>
      <c r="C102" s="62"/>
      <c r="D102" s="52"/>
      <c r="E102" s="7">
        <f>E18+E32+E45+E58+E71+E84+E95+E97+E99+E101</f>
        <v>1279043.4199999997</v>
      </c>
      <c r="F102" s="22"/>
      <c r="G102" s="22">
        <f>G18+G32+G45+G58+G71+G84+G95+G97+G99+G101</f>
        <v>1429065.8099999998</v>
      </c>
      <c r="H102" s="22"/>
      <c r="I102" s="22">
        <f>I18+I32+I45+I58+I71+I84+I95+I97+I99+I101</f>
        <v>1483423.64</v>
      </c>
      <c r="J102" s="22"/>
      <c r="K102" s="22">
        <f>K18+K32+K45+K58+K71+K84+K95+K97+K99+K101</f>
        <v>2517054.4500000002</v>
      </c>
      <c r="L102" s="22"/>
      <c r="M102" s="22">
        <f>M18+M32+M45+M58+M71+M84+M95+M97+M99+M101</f>
        <v>1814620.6599999997</v>
      </c>
      <c r="N102" s="22"/>
      <c r="O102" s="22">
        <f>O18+O32+O45+O58+O71+O84+O95+O97+O99+O101</f>
        <v>1809066.2499999998</v>
      </c>
      <c r="P102" s="22"/>
      <c r="Q102" s="22">
        <f>Q18+Q32+Q45+Q58+Q71+Q84+Q95+Q97+Q99+Q101</f>
        <v>2757472</v>
      </c>
    </row>
    <row r="103" spans="1:19" ht="22.5" customHeight="1" x14ac:dyDescent="0.25">
      <c r="A103" s="4"/>
      <c r="B103" s="69"/>
      <c r="C103" s="70"/>
      <c r="D103" s="55"/>
      <c r="E103" s="55"/>
      <c r="F103" s="7"/>
      <c r="G103" s="7"/>
      <c r="H103" s="7"/>
      <c r="I103" s="7"/>
      <c r="J103" s="7"/>
      <c r="K103" s="7"/>
      <c r="L103" s="7"/>
      <c r="M103" s="7"/>
      <c r="N103" s="15"/>
      <c r="O103" s="7"/>
      <c r="P103" s="4"/>
      <c r="Q103" s="7"/>
    </row>
    <row r="104" spans="1:19" ht="47.25" customHeight="1" x14ac:dyDescent="0.25">
      <c r="A104" s="4"/>
      <c r="B104" s="58" t="s">
        <v>41</v>
      </c>
      <c r="C104" s="62"/>
      <c r="D104" s="42">
        <v>25</v>
      </c>
      <c r="E104" s="5">
        <f>ROUND(E102/D104,0)</f>
        <v>51162</v>
      </c>
      <c r="F104" s="25">
        <v>20</v>
      </c>
      <c r="G104" s="5">
        <f>ROUND(G102/F104,0)</f>
        <v>71453</v>
      </c>
      <c r="H104" s="25">
        <v>25</v>
      </c>
      <c r="I104" s="5">
        <f>ROUND(I102/H104,0)</f>
        <v>59337</v>
      </c>
      <c r="J104" s="25">
        <v>10</v>
      </c>
      <c r="K104" s="5">
        <f>ROUND(K102/J104,0)</f>
        <v>251705</v>
      </c>
      <c r="L104" s="25">
        <v>20</v>
      </c>
      <c r="M104" s="5">
        <f>ROUND(M102/L104,0)</f>
        <v>90731</v>
      </c>
      <c r="N104" s="26">
        <v>25</v>
      </c>
      <c r="O104" s="5">
        <f>ROUND(O102/N104,0)</f>
        <v>72363</v>
      </c>
      <c r="P104" s="26">
        <v>10</v>
      </c>
      <c r="Q104" s="5">
        <f>ROUND(Q102/P104,0)</f>
        <v>275747</v>
      </c>
      <c r="R104" s="27"/>
      <c r="S104" s="28"/>
    </row>
    <row r="105" spans="1:19" ht="46.5" customHeight="1" x14ac:dyDescent="0.25">
      <c r="A105" s="4"/>
      <c r="B105" s="58" t="s">
        <v>42</v>
      </c>
      <c r="C105" s="62"/>
      <c r="D105" s="4"/>
      <c r="E105" s="44">
        <v>57084</v>
      </c>
      <c r="F105" s="4"/>
      <c r="G105" s="44">
        <v>57084</v>
      </c>
      <c r="H105" s="4"/>
      <c r="I105" s="44">
        <v>57084</v>
      </c>
      <c r="J105" s="4"/>
      <c r="K105" s="44">
        <v>57084</v>
      </c>
      <c r="L105" s="4"/>
      <c r="M105" s="44">
        <v>57084</v>
      </c>
      <c r="N105" s="17"/>
      <c r="O105" s="44">
        <v>57084</v>
      </c>
      <c r="P105" s="4"/>
      <c r="Q105" s="44">
        <v>57084</v>
      </c>
    </row>
    <row r="106" spans="1:19" ht="77.25" customHeight="1" x14ac:dyDescent="0.25">
      <c r="A106" s="4"/>
      <c r="B106" s="60" t="s">
        <v>43</v>
      </c>
      <c r="C106" s="61"/>
      <c r="D106" s="43"/>
      <c r="E106" s="20">
        <f>ROUND(E104/E105,3)</f>
        <v>0.89600000000000002</v>
      </c>
      <c r="F106" s="3"/>
      <c r="G106" s="3">
        <f t="shared" ref="G106:Q106" si="60">ROUND(G104/G105,3)</f>
        <v>1.252</v>
      </c>
      <c r="H106" s="3"/>
      <c r="I106" s="3">
        <f t="shared" si="60"/>
        <v>1.0389999999999999</v>
      </c>
      <c r="J106" s="3"/>
      <c r="K106" s="3">
        <f t="shared" si="60"/>
        <v>4.4089999999999998</v>
      </c>
      <c r="L106" s="3"/>
      <c r="M106" s="3">
        <f t="shared" si="60"/>
        <v>1.589</v>
      </c>
      <c r="N106" s="3"/>
      <c r="O106" s="3">
        <f t="shared" si="60"/>
        <v>1.268</v>
      </c>
      <c r="P106" s="3"/>
      <c r="Q106" s="3">
        <f t="shared" si="60"/>
        <v>4.8310000000000004</v>
      </c>
    </row>
  </sheetData>
  <mergeCells count="20">
    <mergeCell ref="A1:Q1"/>
    <mergeCell ref="A2:A4"/>
    <mergeCell ref="B2:B4"/>
    <mergeCell ref="C2:C4"/>
    <mergeCell ref="D2:Q2"/>
    <mergeCell ref="D3:E3"/>
    <mergeCell ref="F3:G3"/>
    <mergeCell ref="H3:I3"/>
    <mergeCell ref="J3:K3"/>
    <mergeCell ref="L3:M3"/>
    <mergeCell ref="P3:Q3"/>
    <mergeCell ref="B96:C96"/>
    <mergeCell ref="B98:C98"/>
    <mergeCell ref="B100:C100"/>
    <mergeCell ref="B102:C102"/>
    <mergeCell ref="B103:C103"/>
    <mergeCell ref="B104:C104"/>
    <mergeCell ref="B105:C105"/>
    <mergeCell ref="B106:C106"/>
    <mergeCell ref="N3:O3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view="pageBreakPreview" zoomScale="75" zoomScaleNormal="81" zoomScaleSheetLayoutView="75" workbookViewId="0">
      <pane xSplit="3" ySplit="4" topLeftCell="D101" activePane="bottomRight" state="frozen"/>
      <selection pane="topRight" activeCell="D1" sqref="D1"/>
      <selection pane="bottomLeft" activeCell="A5" sqref="A5"/>
      <selection pane="bottomRight" activeCell="D3" sqref="D3:E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6" style="1" customWidth="1"/>
    <col min="6" max="6" width="14.5703125" style="1" customWidth="1"/>
    <col min="7" max="7" width="12.85546875" style="1" customWidth="1"/>
    <col min="8" max="8" width="14.85546875" style="1" customWidth="1"/>
    <col min="9" max="9" width="15.140625" style="1" customWidth="1"/>
    <col min="10" max="10" width="12" style="1" customWidth="1"/>
    <col min="11" max="11" width="17.7109375" style="1" customWidth="1"/>
    <col min="12" max="12" width="13.42578125" style="1" customWidth="1"/>
    <col min="13" max="13" width="15.7109375" style="19" customWidth="1"/>
    <col min="14" max="14" width="14.85546875" style="19" customWidth="1"/>
    <col min="15" max="15" width="15.7109375" style="19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46.5" customHeight="1" x14ac:dyDescent="0.25">
      <c r="A2" s="74" t="s">
        <v>2</v>
      </c>
      <c r="B2" s="74" t="s">
        <v>0</v>
      </c>
      <c r="C2" s="74" t="s">
        <v>1</v>
      </c>
      <c r="D2" s="71" t="s">
        <v>71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2" customFormat="1" ht="51" customHeight="1" x14ac:dyDescent="0.25">
      <c r="A3" s="75"/>
      <c r="B3" s="75"/>
      <c r="C3" s="75"/>
      <c r="D3" s="67" t="s">
        <v>27</v>
      </c>
      <c r="E3" s="67"/>
      <c r="F3" s="67" t="s">
        <v>26</v>
      </c>
      <c r="G3" s="67"/>
      <c r="H3" s="71" t="s">
        <v>19</v>
      </c>
      <c r="I3" s="73"/>
      <c r="J3" s="65" t="s">
        <v>63</v>
      </c>
      <c r="K3" s="66"/>
      <c r="L3" s="67" t="s">
        <v>8</v>
      </c>
      <c r="M3" s="67"/>
      <c r="N3" s="65" t="s">
        <v>9</v>
      </c>
      <c r="O3" s="66"/>
      <c r="P3" s="65" t="s">
        <v>64</v>
      </c>
      <c r="Q3" s="66"/>
    </row>
    <row r="4" spans="1:17" ht="48.75" customHeight="1" x14ac:dyDescent="0.25">
      <c r="A4" s="76"/>
      <c r="B4" s="76"/>
      <c r="C4" s="76"/>
      <c r="D4" s="56" t="s">
        <v>5</v>
      </c>
      <c r="E4" s="54" t="s">
        <v>6</v>
      </c>
      <c r="F4" s="56" t="s">
        <v>5</v>
      </c>
      <c r="G4" s="54" t="s">
        <v>6</v>
      </c>
      <c r="H4" s="56" t="s">
        <v>5</v>
      </c>
      <c r="I4" s="54" t="s">
        <v>6</v>
      </c>
      <c r="J4" s="56" t="s">
        <v>5</v>
      </c>
      <c r="K4" s="54" t="s">
        <v>6</v>
      </c>
      <c r="L4" s="56" t="s">
        <v>5</v>
      </c>
      <c r="M4" s="31" t="s">
        <v>6</v>
      </c>
      <c r="N4" s="13" t="s">
        <v>5</v>
      </c>
      <c r="O4" s="31" t="s">
        <v>6</v>
      </c>
      <c r="P4" s="54" t="s">
        <v>5</v>
      </c>
      <c r="Q4" s="54" t="s">
        <v>6</v>
      </c>
    </row>
    <row r="5" spans="1:17" ht="45" x14ac:dyDescent="0.25">
      <c r="A5" s="3">
        <v>1</v>
      </c>
      <c r="B5" s="4" t="s">
        <v>3</v>
      </c>
      <c r="C5" s="6" t="s">
        <v>37</v>
      </c>
      <c r="D5" s="7">
        <v>1.25</v>
      </c>
      <c r="E5" s="7">
        <f>ROUND(8216*D5*1.043*1.038*1.01,2)</f>
        <v>11229.84</v>
      </c>
      <c r="F5" s="7">
        <v>1.39</v>
      </c>
      <c r="G5" s="7">
        <f>ROUND(8216*F5*1.043*1.038*1.01,2)</f>
        <v>12487.58</v>
      </c>
      <c r="H5" s="7">
        <v>1.39</v>
      </c>
      <c r="I5" s="7">
        <f>ROUND(8216*H5*1.043*1.038*1.01,2)</f>
        <v>12487.58</v>
      </c>
      <c r="J5" s="15">
        <v>2</v>
      </c>
      <c r="K5" s="7">
        <f>ROUND(8216*J5*1.043*1.038*1.01,2)</f>
        <v>17967.740000000002</v>
      </c>
      <c r="L5" s="15">
        <v>2</v>
      </c>
      <c r="M5" s="7">
        <f>ROUND(8216*L5*1.043*1.038*1.01,2)</f>
        <v>17967.740000000002</v>
      </c>
      <c r="N5" s="15">
        <v>2</v>
      </c>
      <c r="O5" s="7">
        <f>ROUND(8216*N5*1.043*1.038*1.01,2)</f>
        <v>17967.740000000002</v>
      </c>
      <c r="P5" s="15">
        <v>2.4</v>
      </c>
      <c r="Q5" s="7">
        <f>ROUND(8216*P5*1.043*1.038*1.01,2)</f>
        <v>21561.29</v>
      </c>
    </row>
    <row r="6" spans="1:17" ht="57.75" customHeight="1" x14ac:dyDescent="0.25">
      <c r="A6" s="3"/>
      <c r="B6" s="4"/>
      <c r="C6" s="6" t="s">
        <v>46</v>
      </c>
      <c r="D6" s="7"/>
      <c r="E6" s="7">
        <f>ROUND(E5*0.3,2)</f>
        <v>3368.95</v>
      </c>
      <c r="F6" s="7"/>
      <c r="G6" s="7">
        <f>ROUND(G5*0.3,2)</f>
        <v>3746.27</v>
      </c>
      <c r="H6" s="7"/>
      <c r="I6" s="7">
        <f>ROUND(I5*0.3,2)</f>
        <v>3746.27</v>
      </c>
      <c r="J6" s="15"/>
      <c r="K6" s="7">
        <f>ROUND(K5*0.3,2)</f>
        <v>5390.32</v>
      </c>
      <c r="L6" s="15"/>
      <c r="M6" s="15">
        <f>ROUND(M5*0.3,2)</f>
        <v>5390.32</v>
      </c>
      <c r="N6" s="15"/>
      <c r="O6" s="15">
        <f>ROUND(O5*0.3,2)</f>
        <v>5390.32</v>
      </c>
      <c r="P6" s="15"/>
      <c r="Q6" s="7">
        <f>ROUND(Q5*0.3,2)</f>
        <v>6468.39</v>
      </c>
    </row>
    <row r="7" spans="1:17" ht="48" customHeight="1" x14ac:dyDescent="0.25">
      <c r="A7" s="3"/>
      <c r="B7" s="4"/>
      <c r="C7" s="6" t="s">
        <v>45</v>
      </c>
      <c r="D7" s="7"/>
      <c r="E7" s="7"/>
      <c r="F7" s="7"/>
      <c r="G7" s="7"/>
      <c r="H7" s="7"/>
      <c r="I7" s="7"/>
      <c r="J7" s="15"/>
      <c r="K7" s="7">
        <f>ROUND((K5+K6)*0.2,2)</f>
        <v>4671.6099999999997</v>
      </c>
      <c r="L7" s="15"/>
      <c r="M7" s="15"/>
      <c r="N7" s="15"/>
      <c r="O7" s="15"/>
      <c r="P7" s="15"/>
      <c r="Q7" s="7">
        <f>ROUND((Q5+Q6)*0.2,2)</f>
        <v>5605.94</v>
      </c>
    </row>
    <row r="8" spans="1:17" ht="60" customHeight="1" x14ac:dyDescent="0.25">
      <c r="A8" s="4"/>
      <c r="B8" s="4"/>
      <c r="C8" s="6" t="s">
        <v>47</v>
      </c>
      <c r="D8" s="4"/>
      <c r="E8" s="7">
        <f>ROUND((E5+E6)*0.3,2)</f>
        <v>4379.6400000000003</v>
      </c>
      <c r="F8" s="5"/>
      <c r="G8" s="7">
        <f>ROUND((G5+G6)*0.3,2)</f>
        <v>4870.16</v>
      </c>
      <c r="H8" s="5"/>
      <c r="I8" s="7">
        <f>ROUND((I5+I6)*0.3,2)</f>
        <v>4870.16</v>
      </c>
      <c r="J8" s="16"/>
      <c r="K8" s="7">
        <f>ROUND((K5+K6)*0.3,2)</f>
        <v>7007.42</v>
      </c>
      <c r="L8" s="16"/>
      <c r="M8" s="15">
        <f>ROUND((M5+M6)*0.3,2)</f>
        <v>7007.42</v>
      </c>
      <c r="N8" s="16"/>
      <c r="O8" s="15">
        <f>ROUND((O5+O6)*0.3,2)</f>
        <v>7007.42</v>
      </c>
      <c r="P8" s="16"/>
      <c r="Q8" s="7">
        <f>ROUND((Q5+Q6)*0.3,2)</f>
        <v>8408.9</v>
      </c>
    </row>
    <row r="9" spans="1:17" ht="51.75" customHeight="1" x14ac:dyDescent="0.25">
      <c r="A9" s="4"/>
      <c r="B9" s="4"/>
      <c r="C9" s="6" t="s">
        <v>56</v>
      </c>
      <c r="D9" s="3"/>
      <c r="E9" s="7">
        <f t="shared" ref="E9" si="0">ROUND(E5*0.25,2)</f>
        <v>2807.46</v>
      </c>
      <c r="F9" s="7"/>
      <c r="G9" s="7">
        <f t="shared" ref="G9" si="1">ROUND(G5*0.25,2)</f>
        <v>3121.9</v>
      </c>
      <c r="H9" s="7"/>
      <c r="I9" s="7">
        <f>ROUND(I5*0.25,2)</f>
        <v>3121.9</v>
      </c>
      <c r="J9" s="7"/>
      <c r="K9" s="7">
        <f t="shared" ref="K9:O9" si="2">ROUND(K5*0.25,2)</f>
        <v>4491.9399999999996</v>
      </c>
      <c r="L9" s="7"/>
      <c r="M9" s="15">
        <f t="shared" si="2"/>
        <v>4491.9399999999996</v>
      </c>
      <c r="N9" s="15"/>
      <c r="O9" s="15">
        <f t="shared" si="2"/>
        <v>4491.9399999999996</v>
      </c>
      <c r="P9" s="7"/>
      <c r="Q9" s="7">
        <f t="shared" ref="Q9" si="3">ROUND(Q5*0.25,2)</f>
        <v>5390.32</v>
      </c>
    </row>
    <row r="10" spans="1:17" ht="46.5" customHeight="1" x14ac:dyDescent="0.25">
      <c r="A10" s="4"/>
      <c r="B10" s="4"/>
      <c r="C10" s="6" t="s">
        <v>11</v>
      </c>
      <c r="D10" s="4"/>
      <c r="E10" s="7">
        <f>ROUND((E5+E6)*0.05,2)</f>
        <v>729.94</v>
      </c>
      <c r="F10" s="7"/>
      <c r="G10" s="7">
        <f t="shared" ref="G10:Q10" si="4">ROUND((G5+G6)*0.05,2)</f>
        <v>811.69</v>
      </c>
      <c r="H10" s="7"/>
      <c r="I10" s="7">
        <f t="shared" si="4"/>
        <v>811.69</v>
      </c>
      <c r="J10" s="7"/>
      <c r="K10" s="7">
        <f t="shared" si="4"/>
        <v>1167.9000000000001</v>
      </c>
      <c r="L10" s="7"/>
      <c r="M10" s="7">
        <f t="shared" si="4"/>
        <v>1167.9000000000001</v>
      </c>
      <c r="N10" s="7"/>
      <c r="O10" s="7">
        <f t="shared" si="4"/>
        <v>1167.9000000000001</v>
      </c>
      <c r="P10" s="7"/>
      <c r="Q10" s="7">
        <f t="shared" si="4"/>
        <v>1401.48</v>
      </c>
    </row>
    <row r="11" spans="1:17" ht="61.5" customHeight="1" x14ac:dyDescent="0.25">
      <c r="A11" s="4"/>
      <c r="B11" s="4"/>
      <c r="C11" s="6" t="s">
        <v>48</v>
      </c>
      <c r="D11" s="4"/>
      <c r="E11" s="7">
        <f>ROUND(E5*0.4,2)</f>
        <v>4491.9399999999996</v>
      </c>
      <c r="F11" s="7"/>
      <c r="G11" s="7">
        <f t="shared" ref="G11:Q11" si="5">ROUND(G5*0.4,2)</f>
        <v>4995.03</v>
      </c>
      <c r="H11" s="7"/>
      <c r="I11" s="7">
        <f t="shared" si="5"/>
        <v>4995.03</v>
      </c>
      <c r="J11" s="7"/>
      <c r="K11" s="7">
        <f t="shared" si="5"/>
        <v>7187.1</v>
      </c>
      <c r="L11" s="7"/>
      <c r="M11" s="7">
        <f t="shared" si="5"/>
        <v>7187.1</v>
      </c>
      <c r="N11" s="7"/>
      <c r="O11" s="7">
        <f t="shared" si="5"/>
        <v>7187.1</v>
      </c>
      <c r="P11" s="7"/>
      <c r="Q11" s="7">
        <f t="shared" si="5"/>
        <v>8624.52</v>
      </c>
    </row>
    <row r="12" spans="1:17" ht="39.75" customHeight="1" x14ac:dyDescent="0.25">
      <c r="A12" s="4"/>
      <c r="B12" s="4"/>
      <c r="C12" s="6" t="s">
        <v>61</v>
      </c>
      <c r="D12" s="4"/>
      <c r="E12" s="7">
        <f>ROUND(E5*0.4,2)</f>
        <v>4491.9399999999996</v>
      </c>
      <c r="F12" s="7"/>
      <c r="G12" s="7">
        <f>ROUND(G5*0.4,2)</f>
        <v>4995.03</v>
      </c>
      <c r="H12" s="7"/>
      <c r="I12" s="7">
        <f>ROUND(I5*0.4,2)</f>
        <v>4995.03</v>
      </c>
      <c r="J12" s="7"/>
      <c r="K12" s="7">
        <f>ROUND(K5*0.4,2)</f>
        <v>7187.1</v>
      </c>
      <c r="L12" s="7"/>
      <c r="M12" s="7">
        <f>ROUND(M5*0.4,2)</f>
        <v>7187.1</v>
      </c>
      <c r="N12" s="7"/>
      <c r="O12" s="7">
        <f>ROUND(O5*0.4,2)</f>
        <v>7187.1</v>
      </c>
      <c r="P12" s="7"/>
      <c r="Q12" s="7">
        <f>ROUND(Q5*0.4,2)</f>
        <v>8624.52</v>
      </c>
    </row>
    <row r="13" spans="1:17" ht="28.5" customHeight="1" x14ac:dyDescent="0.25">
      <c r="A13" s="4"/>
      <c r="B13" s="4"/>
      <c r="C13" s="4" t="s">
        <v>12</v>
      </c>
      <c r="D13" s="4"/>
      <c r="E13" s="7">
        <f>ROUND((E5+E6+E7+E8+E9+E10+E11+E12)*0.05,2)</f>
        <v>1574.99</v>
      </c>
      <c r="F13" s="7"/>
      <c r="G13" s="7">
        <f t="shared" ref="G13:Q13" si="6">ROUND((G5+G6+G7+G8+G9+G10+G11+G12)*0.05,2)</f>
        <v>1751.38</v>
      </c>
      <c r="H13" s="7"/>
      <c r="I13" s="7">
        <f t="shared" si="6"/>
        <v>1751.38</v>
      </c>
      <c r="J13" s="7"/>
      <c r="K13" s="7">
        <f>ROUND((K5+K6+K7+K8+K9+K10+K11+K12)*0.05,2)</f>
        <v>2753.56</v>
      </c>
      <c r="L13" s="7"/>
      <c r="M13" s="7">
        <f t="shared" si="6"/>
        <v>2519.98</v>
      </c>
      <c r="N13" s="7"/>
      <c r="O13" s="7">
        <f t="shared" si="6"/>
        <v>2519.98</v>
      </c>
      <c r="P13" s="7"/>
      <c r="Q13" s="7">
        <f t="shared" si="6"/>
        <v>3304.27</v>
      </c>
    </row>
    <row r="14" spans="1:17" ht="24.75" customHeight="1" x14ac:dyDescent="0.25">
      <c r="A14" s="4"/>
      <c r="B14" s="4"/>
      <c r="C14" s="4" t="s">
        <v>13</v>
      </c>
      <c r="D14" s="4"/>
      <c r="E14" s="3">
        <f>ROUND((E5+E6+E7+E8+E9+E10+E11+E12)*0.01,2)</f>
        <v>315</v>
      </c>
      <c r="F14" s="3"/>
      <c r="G14" s="3">
        <f t="shared" ref="G14:Q14" si="7">ROUND((G5+G6+G7+G8+G9+G10+G11+G12)*0.01,2)</f>
        <v>350.28</v>
      </c>
      <c r="H14" s="3"/>
      <c r="I14" s="3">
        <f t="shared" si="7"/>
        <v>350.28</v>
      </c>
      <c r="J14" s="3"/>
      <c r="K14" s="3">
        <f>ROUND((K5+K6+K7+K8+K9+K10+K11+K12)*0.01,2)</f>
        <v>550.71</v>
      </c>
      <c r="L14" s="3"/>
      <c r="M14" s="3">
        <f t="shared" si="7"/>
        <v>504</v>
      </c>
      <c r="N14" s="3"/>
      <c r="O14" s="3">
        <f t="shared" si="7"/>
        <v>504</v>
      </c>
      <c r="P14" s="3"/>
      <c r="Q14" s="3">
        <f t="shared" si="7"/>
        <v>660.85</v>
      </c>
    </row>
    <row r="15" spans="1:17" ht="24.75" customHeight="1" x14ac:dyDescent="0.25">
      <c r="A15" s="4"/>
      <c r="B15" s="4"/>
      <c r="C15" s="4" t="s">
        <v>33</v>
      </c>
      <c r="D15" s="4"/>
      <c r="E15" s="7">
        <f>ROUND(23687.14/29.3*42/12*D5,2)</f>
        <v>3536.9</v>
      </c>
      <c r="F15" s="7"/>
      <c r="G15" s="7">
        <f>ROUND(23687.14/29.3*42/12*F5,2)</f>
        <v>3933.04</v>
      </c>
      <c r="H15" s="7"/>
      <c r="I15" s="7">
        <f>ROUND(23687.14/29.3*42/12*H5,2)</f>
        <v>3933.04</v>
      </c>
      <c r="J15" s="7"/>
      <c r="K15" s="7">
        <f>ROUND(23687.14/29.3*56/12*J5,2)</f>
        <v>7545.39</v>
      </c>
      <c r="L15" s="7"/>
      <c r="M15" s="7">
        <f>ROUND(23687.14/29.3*42/12*L5,2)</f>
        <v>5659.04</v>
      </c>
      <c r="N15" s="7"/>
      <c r="O15" s="7">
        <f>ROUND(23687.14/29.3*42/12*N5,2)</f>
        <v>5659.04</v>
      </c>
      <c r="P15" s="7"/>
      <c r="Q15" s="7">
        <f>ROUND(23687.14/29.3*56/12*P5,2)</f>
        <v>9054.4699999999993</v>
      </c>
    </row>
    <row r="16" spans="1:17" ht="39" customHeight="1" x14ac:dyDescent="0.25">
      <c r="A16" s="4"/>
      <c r="B16" s="4"/>
      <c r="C16" s="6" t="s">
        <v>14</v>
      </c>
      <c r="D16" s="4"/>
      <c r="E16" s="11">
        <f>ROUND((E5+E6+E7+E8+E9+E10+E11+E13+E14+E15+E12)*0.302,2)</f>
        <v>11151.83</v>
      </c>
      <c r="F16" s="11"/>
      <c r="G16" s="11">
        <f t="shared" ref="G16:Q16" si="8">ROUND((G5+G6+G7+G8+G9+G10+G11+G13+G14+G15+G12)*0.302,2)</f>
        <v>12400.83</v>
      </c>
      <c r="H16" s="11"/>
      <c r="I16" s="11">
        <f t="shared" si="8"/>
        <v>12400.83</v>
      </c>
      <c r="J16" s="11"/>
      <c r="K16" s="11">
        <f>ROUND((K5+K6+K7+K8+K9+K10+K11+K13+K14+K15+K12)*0.302,2)</f>
        <v>19908.080000000002</v>
      </c>
      <c r="L16" s="11"/>
      <c r="M16" s="11">
        <f t="shared" si="8"/>
        <v>17842.93</v>
      </c>
      <c r="N16" s="11"/>
      <c r="O16" s="11">
        <f t="shared" si="8"/>
        <v>17842.93</v>
      </c>
      <c r="P16" s="11"/>
      <c r="Q16" s="11">
        <f t="shared" si="8"/>
        <v>23889.69</v>
      </c>
    </row>
    <row r="17" spans="1:17" ht="36" customHeight="1" x14ac:dyDescent="0.25">
      <c r="A17" s="4"/>
      <c r="B17" s="4"/>
      <c r="C17" s="6" t="s">
        <v>17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0" t="s">
        <v>15</v>
      </c>
      <c r="D18" s="4"/>
      <c r="E18" s="7">
        <f>E5+E6+E7+E8+E9+E10+E11+E13+E14+E16+E15+E12</f>
        <v>48078.43</v>
      </c>
      <c r="F18" s="7"/>
      <c r="G18" s="7">
        <f t="shared" ref="G18:Q18" si="9">G5+G6+G7+G8+G9+G10+G11+G13+G14+G16+G15+G12</f>
        <v>53463.19</v>
      </c>
      <c r="H18" s="7"/>
      <c r="I18" s="7">
        <f t="shared" si="9"/>
        <v>53463.19</v>
      </c>
      <c r="J18" s="7"/>
      <c r="K18" s="7">
        <f>K5+K6+K7+K8+K9+K10+K11+K13+K14+K16+K15+K12</f>
        <v>85828.87000000001</v>
      </c>
      <c r="L18" s="7"/>
      <c r="M18" s="7">
        <f t="shared" si="9"/>
        <v>76925.470000000016</v>
      </c>
      <c r="N18" s="7"/>
      <c r="O18" s="7">
        <f t="shared" si="9"/>
        <v>76925.470000000016</v>
      </c>
      <c r="P18" s="7"/>
      <c r="Q18" s="7">
        <f t="shared" si="9"/>
        <v>102994.64000000001</v>
      </c>
    </row>
    <row r="19" spans="1:17" ht="24.75" customHeight="1" x14ac:dyDescent="0.25">
      <c r="A19" s="4"/>
      <c r="B19" s="4"/>
      <c r="C19" s="10" t="s">
        <v>16</v>
      </c>
      <c r="D19" s="4"/>
      <c r="E19" s="7">
        <f>ROUND(E18*12,2)</f>
        <v>576941.16</v>
      </c>
      <c r="F19" s="5"/>
      <c r="G19" s="7">
        <f>ROUND(G18*12,2)</f>
        <v>641558.28</v>
      </c>
      <c r="H19" s="5"/>
      <c r="I19" s="7">
        <f>ROUND(I18*12,2)</f>
        <v>641558.28</v>
      </c>
      <c r="J19" s="16"/>
      <c r="K19" s="7">
        <f>ROUND(K18*12,2)</f>
        <v>1029946.44</v>
      </c>
      <c r="L19" s="16"/>
      <c r="M19" s="15">
        <f>ROUND(M18*12,2)</f>
        <v>923105.64</v>
      </c>
      <c r="N19" s="16"/>
      <c r="O19" s="15">
        <f>ROUND(O18*12,2)</f>
        <v>923105.64</v>
      </c>
      <c r="P19" s="16"/>
      <c r="Q19" s="7">
        <f>ROUND(Q18*12,2)</f>
        <v>1235935.68</v>
      </c>
    </row>
    <row r="20" spans="1:17" x14ac:dyDescent="0.25">
      <c r="A20" s="4"/>
      <c r="B20" s="4"/>
      <c r="C20" s="4"/>
      <c r="D20" s="4"/>
      <c r="E20" s="4"/>
      <c r="F20" s="4"/>
      <c r="G20" s="22"/>
      <c r="H20" s="4"/>
      <c r="I20" s="22"/>
      <c r="J20" s="17"/>
      <c r="K20" s="23"/>
      <c r="L20" s="17"/>
      <c r="M20" s="23"/>
      <c r="N20" s="17"/>
      <c r="O20" s="23"/>
      <c r="P20" s="17"/>
      <c r="Q20" s="23"/>
    </row>
    <row r="21" spans="1:17" ht="45" x14ac:dyDescent="0.25">
      <c r="A21" s="3">
        <v>2</v>
      </c>
      <c r="B21" s="6" t="s">
        <v>4</v>
      </c>
      <c r="C21" s="6" t="s">
        <v>37</v>
      </c>
      <c r="D21" s="3">
        <v>0.25</v>
      </c>
      <c r="E21" s="7">
        <f>ROUND(7471*D21*1.043*1.038*1.01,2)</f>
        <v>2042.31</v>
      </c>
      <c r="F21" s="7">
        <v>0.25</v>
      </c>
      <c r="G21" s="7">
        <f>ROUND(7471*F21*1.043*1.038*1.01,2)</f>
        <v>2042.31</v>
      </c>
      <c r="H21" s="3">
        <v>0.25</v>
      </c>
      <c r="I21" s="7">
        <f>ROUND(7471*H21*1.043*1.038*1.01,2)</f>
        <v>2042.31</v>
      </c>
      <c r="J21" s="18">
        <v>0.25</v>
      </c>
      <c r="K21" s="7">
        <f>ROUND(7471*J21*1.043*1.038*1.01,2)</f>
        <v>2042.31</v>
      </c>
      <c r="L21" s="18">
        <v>0.25</v>
      </c>
      <c r="M21" s="7">
        <f>ROUND(7471*L21*1.043*1.038*1.01,2)</f>
        <v>2042.31</v>
      </c>
      <c r="N21" s="18">
        <v>0.25</v>
      </c>
      <c r="O21" s="7">
        <f>ROUND(7471*N21*1.043*1.038*1.01,2)</f>
        <v>2042.31</v>
      </c>
      <c r="P21" s="18">
        <v>0.25</v>
      </c>
      <c r="Q21" s="7">
        <f>ROUND(7471*P21*1.043*1.038*1.01,2)</f>
        <v>2042.31</v>
      </c>
    </row>
    <row r="22" spans="1:17" ht="45" x14ac:dyDescent="0.25">
      <c r="A22" s="4"/>
      <c r="B22" s="4"/>
      <c r="C22" s="6" t="s">
        <v>46</v>
      </c>
      <c r="D22" s="4"/>
      <c r="E22" s="7">
        <f>ROUND(E21*0.3,2)</f>
        <v>612.69000000000005</v>
      </c>
      <c r="F22" s="5"/>
      <c r="G22" s="7">
        <f>ROUND(G21*0.3,2)</f>
        <v>612.69000000000005</v>
      </c>
      <c r="H22" s="4"/>
      <c r="I22" s="7">
        <f>ROUND(I21*0.3,2)</f>
        <v>612.69000000000005</v>
      </c>
      <c r="J22" s="17"/>
      <c r="K22" s="7">
        <f>ROUND(K21*0.3,2)</f>
        <v>612.69000000000005</v>
      </c>
      <c r="L22" s="17"/>
      <c r="M22" s="15">
        <f>ROUND(M21*0.3,2)</f>
        <v>612.69000000000005</v>
      </c>
      <c r="N22" s="17"/>
      <c r="O22" s="15">
        <f>ROUND(O21*0.3,2)</f>
        <v>612.69000000000005</v>
      </c>
      <c r="P22" s="17"/>
      <c r="Q22" s="7">
        <f>ROUND(Q21*0.3,2)</f>
        <v>612.69000000000005</v>
      </c>
    </row>
    <row r="23" spans="1:17" ht="45.75" customHeight="1" x14ac:dyDescent="0.25">
      <c r="A23" s="4"/>
      <c r="B23" s="4"/>
      <c r="C23" s="6" t="s">
        <v>45</v>
      </c>
      <c r="D23" s="4"/>
      <c r="E23" s="7"/>
      <c r="F23" s="5"/>
      <c r="G23" s="7"/>
      <c r="H23" s="4"/>
      <c r="I23" s="7"/>
      <c r="J23" s="17"/>
      <c r="K23" s="7">
        <f>ROUND((K21+K22)*0.2,2)</f>
        <v>531</v>
      </c>
      <c r="L23" s="17"/>
      <c r="M23" s="15"/>
      <c r="N23" s="17"/>
      <c r="O23" s="15"/>
      <c r="P23" s="17"/>
      <c r="Q23" s="7">
        <f>ROUND((Q21+Q22)*0.2,2)</f>
        <v>531</v>
      </c>
    </row>
    <row r="24" spans="1:17" ht="60" x14ac:dyDescent="0.25">
      <c r="A24" s="4"/>
      <c r="B24" s="4"/>
      <c r="C24" s="6" t="s">
        <v>47</v>
      </c>
      <c r="D24" s="4"/>
      <c r="E24" s="7">
        <f>ROUND((E21+E22)*0.3,2)</f>
        <v>796.5</v>
      </c>
      <c r="F24" s="5"/>
      <c r="G24" s="7">
        <f>ROUND((G21+G22)*0.3,2)</f>
        <v>796.5</v>
      </c>
      <c r="H24" s="4"/>
      <c r="I24" s="7">
        <f>ROUND((I21+I22)*0.3,2)</f>
        <v>796.5</v>
      </c>
      <c r="J24" s="17"/>
      <c r="K24" s="7">
        <f>ROUND((K21+K22)*0.3,2)</f>
        <v>796.5</v>
      </c>
      <c r="L24" s="17"/>
      <c r="M24" s="15">
        <f>ROUND((M21+M22)*0.3,2)</f>
        <v>796.5</v>
      </c>
      <c r="N24" s="17"/>
      <c r="O24" s="15">
        <f>ROUND((O21+O22)*0.3,2)</f>
        <v>796.5</v>
      </c>
      <c r="P24" s="17"/>
      <c r="Q24" s="7">
        <f>ROUND((Q21+Q22)*0.3,2)</f>
        <v>796.5</v>
      </c>
    </row>
    <row r="25" spans="1:17" ht="34.5" customHeight="1" x14ac:dyDescent="0.25">
      <c r="A25" s="4"/>
      <c r="B25" s="4"/>
      <c r="C25" s="6" t="s">
        <v>56</v>
      </c>
      <c r="D25" s="4"/>
      <c r="E25" s="7">
        <f>ROUND(E21*0.25,2)</f>
        <v>510.58</v>
      </c>
      <c r="F25" s="5"/>
      <c r="G25" s="7">
        <f>ROUND(G21*0.25,2)</f>
        <v>510.58</v>
      </c>
      <c r="H25" s="4"/>
      <c r="I25" s="7">
        <f>ROUND(I21*0.25,2)</f>
        <v>510.58</v>
      </c>
      <c r="J25" s="17"/>
      <c r="K25" s="7">
        <f t="shared" ref="K25" si="10">ROUND(K21*0.25,2)</f>
        <v>510.58</v>
      </c>
      <c r="L25" s="17"/>
      <c r="M25" s="15">
        <f>ROUND(M21*0.25,2)</f>
        <v>510.58</v>
      </c>
      <c r="N25" s="17"/>
      <c r="O25" s="15">
        <f>ROUND(O21*0.25,2)</f>
        <v>510.58</v>
      </c>
      <c r="P25" s="17"/>
      <c r="Q25" s="7">
        <f t="shared" ref="Q25" si="11">ROUND(Q21*0.25,2)</f>
        <v>510.58</v>
      </c>
    </row>
    <row r="26" spans="1:17" ht="45" x14ac:dyDescent="0.25">
      <c r="A26" s="4"/>
      <c r="B26" s="4"/>
      <c r="C26" s="6" t="s">
        <v>11</v>
      </c>
      <c r="D26" s="4"/>
      <c r="E26" s="7">
        <f>ROUND((E21+E22)*0.05,2)</f>
        <v>132.75</v>
      </c>
      <c r="F26" s="7"/>
      <c r="G26" s="7">
        <f t="shared" ref="G26:Q26" si="12">ROUND((G21+G22)*0.05,2)</f>
        <v>132.75</v>
      </c>
      <c r="H26" s="7"/>
      <c r="I26" s="7">
        <f t="shared" si="12"/>
        <v>132.75</v>
      </c>
      <c r="J26" s="7"/>
      <c r="K26" s="7">
        <f t="shared" si="12"/>
        <v>132.75</v>
      </c>
      <c r="L26" s="7"/>
      <c r="M26" s="7">
        <f t="shared" si="12"/>
        <v>132.75</v>
      </c>
      <c r="N26" s="7"/>
      <c r="O26" s="7">
        <f t="shared" si="12"/>
        <v>132.75</v>
      </c>
      <c r="P26" s="7"/>
      <c r="Q26" s="7">
        <f t="shared" si="12"/>
        <v>132.75</v>
      </c>
    </row>
    <row r="27" spans="1:17" ht="45" x14ac:dyDescent="0.25">
      <c r="A27" s="4"/>
      <c r="B27" s="4"/>
      <c r="C27" s="6" t="s">
        <v>48</v>
      </c>
      <c r="D27" s="4"/>
      <c r="E27" s="7">
        <f>ROUND(E21*0.4,2)</f>
        <v>816.92</v>
      </c>
      <c r="F27" s="7"/>
      <c r="G27" s="7">
        <f t="shared" ref="G27:Q27" si="13">ROUND(G21*0.4,2)</f>
        <v>816.92</v>
      </c>
      <c r="H27" s="7"/>
      <c r="I27" s="7">
        <f t="shared" si="13"/>
        <v>816.92</v>
      </c>
      <c r="J27" s="7"/>
      <c r="K27" s="7">
        <f t="shared" si="13"/>
        <v>816.92</v>
      </c>
      <c r="L27" s="7"/>
      <c r="M27" s="7">
        <f t="shared" si="13"/>
        <v>816.92</v>
      </c>
      <c r="N27" s="7"/>
      <c r="O27" s="7">
        <f t="shared" si="13"/>
        <v>816.92</v>
      </c>
      <c r="P27" s="7"/>
      <c r="Q27" s="7">
        <f t="shared" si="13"/>
        <v>816.92</v>
      </c>
    </row>
    <row r="28" spans="1:17" ht="35.25" customHeight="1" x14ac:dyDescent="0.25">
      <c r="A28" s="4"/>
      <c r="B28" s="4"/>
      <c r="C28" s="6" t="s">
        <v>61</v>
      </c>
      <c r="D28" s="4"/>
      <c r="E28" s="7">
        <f>ROUND(E21*0.4,2)</f>
        <v>816.92</v>
      </c>
      <c r="F28" s="7"/>
      <c r="G28" s="7">
        <f>ROUND(G21*0.4,2)</f>
        <v>816.92</v>
      </c>
      <c r="H28" s="7"/>
      <c r="I28" s="7">
        <f>ROUND(I21*0.4,2)</f>
        <v>816.92</v>
      </c>
      <c r="J28" s="7"/>
      <c r="K28" s="7">
        <f>ROUND(K21*0.4,2)</f>
        <v>816.92</v>
      </c>
      <c r="L28" s="7"/>
      <c r="M28" s="7">
        <f>ROUND(M21*0.4,2)</f>
        <v>816.92</v>
      </c>
      <c r="N28" s="7"/>
      <c r="O28" s="7">
        <f>ROUND(O21*0.4,2)</f>
        <v>816.92</v>
      </c>
      <c r="P28" s="7"/>
      <c r="Q28" s="7">
        <f>ROUND(Q21*0.4,2)</f>
        <v>816.92</v>
      </c>
    </row>
    <row r="29" spans="1:17" x14ac:dyDescent="0.25">
      <c r="A29" s="4"/>
      <c r="B29" s="4"/>
      <c r="C29" s="4" t="s">
        <v>12</v>
      </c>
      <c r="D29" s="4"/>
      <c r="E29" s="7">
        <f>ROUND((E21+E22+E23++E24+E25+E26+E27+E28)*0.05,2)</f>
        <v>286.43</v>
      </c>
      <c r="F29" s="7"/>
      <c r="G29" s="7">
        <f t="shared" ref="G29:Q29" si="14">ROUND((G21+G22+G23++G24+G25+G26+G27+G28)*0.05,2)</f>
        <v>286.43</v>
      </c>
      <c r="H29" s="7"/>
      <c r="I29" s="7">
        <f t="shared" si="14"/>
        <v>286.43</v>
      </c>
      <c r="J29" s="7"/>
      <c r="K29" s="7">
        <f t="shared" si="14"/>
        <v>312.98</v>
      </c>
      <c r="L29" s="7"/>
      <c r="M29" s="7">
        <f t="shared" si="14"/>
        <v>286.43</v>
      </c>
      <c r="N29" s="7"/>
      <c r="O29" s="7">
        <f t="shared" si="14"/>
        <v>286.43</v>
      </c>
      <c r="P29" s="7"/>
      <c r="Q29" s="7">
        <f t="shared" si="14"/>
        <v>312.98</v>
      </c>
    </row>
    <row r="30" spans="1:17" x14ac:dyDescent="0.25">
      <c r="A30" s="4"/>
      <c r="B30" s="4"/>
      <c r="C30" s="4" t="s">
        <v>13</v>
      </c>
      <c r="D30" s="4"/>
      <c r="E30" s="3">
        <f>ROUND((E21+E22+E23+E24+E25+E26+E27+E28)*0.01,2)</f>
        <v>57.29</v>
      </c>
      <c r="F30" s="3"/>
      <c r="G30" s="3">
        <f t="shared" ref="G30:Q30" si="15">ROUND((G21+G22+G23+G24+G25+G26+G27+G28)*0.01,2)</f>
        <v>57.29</v>
      </c>
      <c r="H30" s="3"/>
      <c r="I30" s="3">
        <f t="shared" si="15"/>
        <v>57.29</v>
      </c>
      <c r="J30" s="3"/>
      <c r="K30" s="3">
        <f t="shared" si="15"/>
        <v>62.6</v>
      </c>
      <c r="L30" s="3"/>
      <c r="M30" s="3">
        <f t="shared" si="15"/>
        <v>57.29</v>
      </c>
      <c r="N30" s="3"/>
      <c r="O30" s="3">
        <f t="shared" si="15"/>
        <v>57.29</v>
      </c>
      <c r="P30" s="3"/>
      <c r="Q30" s="3">
        <f t="shared" si="15"/>
        <v>62.6</v>
      </c>
    </row>
    <row r="31" spans="1:17" ht="30" x14ac:dyDescent="0.25">
      <c r="A31" s="4"/>
      <c r="B31" s="4"/>
      <c r="C31" s="6" t="s">
        <v>14</v>
      </c>
      <c r="D31" s="4"/>
      <c r="E31" s="11">
        <f>ROUND((E21+E22+E23+E24+E25+E26+E27+E29+E30+E28)*0.302,2)</f>
        <v>1833.86</v>
      </c>
      <c r="F31" s="11"/>
      <c r="G31" s="11">
        <f t="shared" ref="G31:Q31" si="16">ROUND((G21+G22+G23+G24+G25+G26+G27+G29+G30+G28)*0.302,2)</f>
        <v>1833.86</v>
      </c>
      <c r="H31" s="11"/>
      <c r="I31" s="11">
        <f t="shared" si="16"/>
        <v>1833.86</v>
      </c>
      <c r="J31" s="11"/>
      <c r="K31" s="11">
        <f t="shared" si="16"/>
        <v>2003.85</v>
      </c>
      <c r="L31" s="11"/>
      <c r="M31" s="11">
        <f t="shared" si="16"/>
        <v>1833.86</v>
      </c>
      <c r="N31" s="11"/>
      <c r="O31" s="11">
        <f t="shared" si="16"/>
        <v>1833.86</v>
      </c>
      <c r="P31" s="11"/>
      <c r="Q31" s="11">
        <f t="shared" si="16"/>
        <v>2003.85</v>
      </c>
    </row>
    <row r="32" spans="1:17" ht="52.5" customHeight="1" x14ac:dyDescent="0.25">
      <c r="A32" s="4"/>
      <c r="B32" s="4"/>
      <c r="C32" s="6" t="s">
        <v>21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0" t="s">
        <v>15</v>
      </c>
      <c r="D33" s="4"/>
      <c r="E33" s="7">
        <f>E21+E22+E23+E24+E25+E26+E27+E29+E30+E31+E28</f>
        <v>7906.25</v>
      </c>
      <c r="F33" s="7"/>
      <c r="G33" s="7">
        <f t="shared" ref="G33:Q33" si="17">G21+G22+G23+G24+G25+G26+G27+G29+G30+G31+G28</f>
        <v>7906.25</v>
      </c>
      <c r="H33" s="7"/>
      <c r="I33" s="7">
        <f t="shared" si="17"/>
        <v>7906.25</v>
      </c>
      <c r="J33" s="7"/>
      <c r="K33" s="7">
        <f t="shared" si="17"/>
        <v>8639.1</v>
      </c>
      <c r="L33" s="7"/>
      <c r="M33" s="7">
        <f t="shared" si="17"/>
        <v>7906.25</v>
      </c>
      <c r="N33" s="7"/>
      <c r="O33" s="7">
        <f t="shared" si="17"/>
        <v>7906.25</v>
      </c>
      <c r="P33" s="7"/>
      <c r="Q33" s="7">
        <f t="shared" si="17"/>
        <v>8639.1</v>
      </c>
    </row>
    <row r="34" spans="1:17" x14ac:dyDescent="0.25">
      <c r="A34" s="4"/>
      <c r="B34" s="4"/>
      <c r="C34" s="10" t="s">
        <v>16</v>
      </c>
      <c r="D34" s="4"/>
      <c r="E34" s="7">
        <f>ROUND(E33*12,2)</f>
        <v>94875</v>
      </c>
      <c r="F34" s="5"/>
      <c r="G34" s="7">
        <f>ROUND(G33*12,2)</f>
        <v>94875</v>
      </c>
      <c r="H34" s="4"/>
      <c r="I34" s="7">
        <f>ROUND(I33*12,2)</f>
        <v>94875</v>
      </c>
      <c r="J34" s="17"/>
      <c r="K34" s="7">
        <f>ROUND(K33*12,2)</f>
        <v>103669.2</v>
      </c>
      <c r="L34" s="17"/>
      <c r="M34" s="15">
        <f>ROUND(M33*12,2)</f>
        <v>94875</v>
      </c>
      <c r="N34" s="17"/>
      <c r="O34" s="15">
        <f>ROUND(O33*12,2)</f>
        <v>94875</v>
      </c>
      <c r="P34" s="17"/>
      <c r="Q34" s="7">
        <f>ROUND(Q33*12,2)</f>
        <v>103669.2</v>
      </c>
    </row>
    <row r="35" spans="1:17" ht="45" x14ac:dyDescent="0.25">
      <c r="A35" s="3">
        <v>3</v>
      </c>
      <c r="B35" s="6" t="s">
        <v>28</v>
      </c>
      <c r="C35" s="6" t="s">
        <v>37</v>
      </c>
      <c r="D35" s="3">
        <v>0.125</v>
      </c>
      <c r="E35" s="7">
        <f>ROUND(7471*D35*1.043*1.038*1.01,2)</f>
        <v>1021.16</v>
      </c>
      <c r="F35" s="20"/>
      <c r="G35" s="7">
        <f>ROUND(7471*F35*1.043*1.038*1.01,2)</f>
        <v>0</v>
      </c>
      <c r="H35" s="20">
        <v>0.125</v>
      </c>
      <c r="I35" s="7">
        <f>ROUND(7471*H35*1.043*1.038*1.01,2)</f>
        <v>1021.16</v>
      </c>
      <c r="J35" s="21">
        <v>0.125</v>
      </c>
      <c r="K35" s="7">
        <f>ROUND(7471*J35*1.043*1.038*1.01,2)</f>
        <v>1021.16</v>
      </c>
      <c r="L35" s="21"/>
      <c r="M35" s="7">
        <f>ROUND(7471*L35*1.043*1.038*1.01,2)</f>
        <v>0</v>
      </c>
      <c r="N35" s="21">
        <v>0.125</v>
      </c>
      <c r="O35" s="7">
        <f>ROUND(7471*N35*1.043*1.038*1.01,2)</f>
        <v>1021.16</v>
      </c>
      <c r="P35" s="21">
        <v>0.125</v>
      </c>
      <c r="Q35" s="7">
        <f>ROUND(7471*P35*1.043*1.038*1.01,2)</f>
        <v>1021.16</v>
      </c>
    </row>
    <row r="36" spans="1:17" ht="45" x14ac:dyDescent="0.25">
      <c r="A36" s="4"/>
      <c r="B36" s="4"/>
      <c r="C36" s="6" t="s">
        <v>46</v>
      </c>
      <c r="D36" s="4"/>
      <c r="E36" s="7">
        <f>ROUND(E35*0.3,2)</f>
        <v>306.35000000000002</v>
      </c>
      <c r="F36" s="5"/>
      <c r="G36" s="7">
        <f>ROUND(G35*0.3,2)</f>
        <v>0</v>
      </c>
      <c r="H36" s="4"/>
      <c r="I36" s="7">
        <f>ROUND(I35*0.3,2)</f>
        <v>306.35000000000002</v>
      </c>
      <c r="J36" s="17"/>
      <c r="K36" s="7">
        <f>ROUND(K35*0.3,2)</f>
        <v>306.35000000000002</v>
      </c>
      <c r="L36" s="17"/>
      <c r="M36" s="15">
        <f>ROUND(M35*0.3,2)</f>
        <v>0</v>
      </c>
      <c r="N36" s="17"/>
      <c r="O36" s="15">
        <f>ROUND(O35*0.3,2)</f>
        <v>306.35000000000002</v>
      </c>
      <c r="P36" s="17"/>
      <c r="Q36" s="7">
        <f>ROUND(Q35*0.3,2)</f>
        <v>306.35000000000002</v>
      </c>
    </row>
    <row r="37" spans="1:17" ht="45" x14ac:dyDescent="0.25">
      <c r="A37" s="4"/>
      <c r="B37" s="4"/>
      <c r="C37" s="6" t="s">
        <v>45</v>
      </c>
      <c r="D37" s="4"/>
      <c r="E37" s="7"/>
      <c r="F37" s="5"/>
      <c r="G37" s="7"/>
      <c r="H37" s="4"/>
      <c r="I37" s="7"/>
      <c r="J37" s="17"/>
      <c r="K37" s="7">
        <f>ROUND((K35+K36)*0.2,2)</f>
        <v>265.5</v>
      </c>
      <c r="L37" s="17"/>
      <c r="M37" s="15"/>
      <c r="N37" s="17"/>
      <c r="O37" s="15"/>
      <c r="P37" s="17"/>
      <c r="Q37" s="7">
        <f>ROUND((Q35+Q36)*0.2,2)</f>
        <v>265.5</v>
      </c>
    </row>
    <row r="38" spans="1:17" ht="60" x14ac:dyDescent="0.25">
      <c r="A38" s="4"/>
      <c r="B38" s="4"/>
      <c r="C38" s="6" t="s">
        <v>47</v>
      </c>
      <c r="D38" s="4"/>
      <c r="E38" s="7">
        <f>ROUND((E35+E36)*0.3,2)</f>
        <v>398.25</v>
      </c>
      <c r="F38" s="5"/>
      <c r="G38" s="7">
        <f>ROUND((G35+G36)*0.3,2)</f>
        <v>0</v>
      </c>
      <c r="H38" s="4"/>
      <c r="I38" s="7">
        <f>ROUND((I35+I36)*0.3,2)</f>
        <v>398.25</v>
      </c>
      <c r="J38" s="17"/>
      <c r="K38" s="7">
        <f>ROUND((K35+K36)*0.3,2)</f>
        <v>398.25</v>
      </c>
      <c r="L38" s="17"/>
      <c r="M38" s="15">
        <f>ROUND((M35+M36)*0.3,2)</f>
        <v>0</v>
      </c>
      <c r="N38" s="17"/>
      <c r="O38" s="15">
        <f>ROUND((O35+O36)*0.3,2)</f>
        <v>398.25</v>
      </c>
      <c r="P38" s="17"/>
      <c r="Q38" s="7">
        <f>ROUND((Q35+Q36)*0.3,2)</f>
        <v>398.25</v>
      </c>
    </row>
    <row r="39" spans="1:17" ht="53.25" customHeight="1" x14ac:dyDescent="0.25">
      <c r="A39" s="4"/>
      <c r="B39" s="4"/>
      <c r="C39" s="6" t="s">
        <v>56</v>
      </c>
      <c r="D39" s="4"/>
      <c r="E39" s="7">
        <f>ROUND(E35*0.25,2)</f>
        <v>255.29</v>
      </c>
      <c r="F39" s="7"/>
      <c r="G39" s="7">
        <f t="shared" ref="G39:O39" si="18">ROUND(G35*0.25,2)</f>
        <v>0</v>
      </c>
      <c r="H39" s="7"/>
      <c r="I39" s="7">
        <f t="shared" si="18"/>
        <v>255.29</v>
      </c>
      <c r="J39" s="7"/>
      <c r="K39" s="7">
        <f t="shared" ref="K39" si="19">ROUND(K35*0.25,2)</f>
        <v>255.29</v>
      </c>
      <c r="L39" s="7"/>
      <c r="M39" s="15">
        <f t="shared" si="18"/>
        <v>0</v>
      </c>
      <c r="N39" s="15"/>
      <c r="O39" s="15">
        <f t="shared" si="18"/>
        <v>255.29</v>
      </c>
      <c r="P39" s="7"/>
      <c r="Q39" s="7">
        <f t="shared" ref="Q39" si="20">ROUND(Q35*0.25,2)</f>
        <v>255.29</v>
      </c>
    </row>
    <row r="40" spans="1:17" ht="45" x14ac:dyDescent="0.25">
      <c r="A40" s="4"/>
      <c r="B40" s="4"/>
      <c r="C40" s="6" t="s">
        <v>11</v>
      </c>
      <c r="D40" s="4"/>
      <c r="E40" s="7">
        <f>ROUND((E35+E36)*0.05,2)</f>
        <v>66.38</v>
      </c>
      <c r="F40" s="7"/>
      <c r="G40" s="7">
        <f t="shared" ref="G40:Q40" si="21">ROUND((G35+G36)*0.05,2)</f>
        <v>0</v>
      </c>
      <c r="H40" s="7"/>
      <c r="I40" s="7">
        <f t="shared" si="21"/>
        <v>66.38</v>
      </c>
      <c r="J40" s="7"/>
      <c r="K40" s="7">
        <f t="shared" si="21"/>
        <v>66.38</v>
      </c>
      <c r="L40" s="7"/>
      <c r="M40" s="7">
        <f t="shared" si="21"/>
        <v>0</v>
      </c>
      <c r="N40" s="7"/>
      <c r="O40" s="7">
        <f t="shared" si="21"/>
        <v>66.38</v>
      </c>
      <c r="P40" s="7"/>
      <c r="Q40" s="7">
        <f t="shared" si="21"/>
        <v>66.38</v>
      </c>
    </row>
    <row r="41" spans="1:17" ht="45" x14ac:dyDescent="0.25">
      <c r="A41" s="4"/>
      <c r="B41" s="4"/>
      <c r="C41" s="6" t="s">
        <v>48</v>
      </c>
      <c r="D41" s="4"/>
      <c r="E41" s="7">
        <f>ROUND(E35*0.4,2)</f>
        <v>408.46</v>
      </c>
      <c r="F41" s="7"/>
      <c r="G41" s="7">
        <f t="shared" ref="G41:Q41" si="22">ROUND(G35*0.4,2)</f>
        <v>0</v>
      </c>
      <c r="H41" s="7"/>
      <c r="I41" s="7">
        <f t="shared" si="22"/>
        <v>408.46</v>
      </c>
      <c r="J41" s="7"/>
      <c r="K41" s="7">
        <f t="shared" si="22"/>
        <v>408.46</v>
      </c>
      <c r="L41" s="7"/>
      <c r="M41" s="7">
        <f t="shared" si="22"/>
        <v>0</v>
      </c>
      <c r="N41" s="7"/>
      <c r="O41" s="7">
        <f t="shared" si="22"/>
        <v>408.46</v>
      </c>
      <c r="P41" s="7"/>
      <c r="Q41" s="7">
        <f t="shared" si="22"/>
        <v>408.46</v>
      </c>
    </row>
    <row r="42" spans="1:17" ht="36.75" customHeight="1" x14ac:dyDescent="0.25">
      <c r="A42" s="4"/>
      <c r="B42" s="4"/>
      <c r="C42" s="6" t="s">
        <v>61</v>
      </c>
      <c r="D42" s="4"/>
      <c r="E42" s="7">
        <f>ROUND(E35*0.4,2)</f>
        <v>408.46</v>
      </c>
      <c r="F42" s="7"/>
      <c r="G42" s="7">
        <f>ROUND(G35*0.4,2)</f>
        <v>0</v>
      </c>
      <c r="H42" s="7"/>
      <c r="I42" s="7">
        <f>ROUND(I35*0.4,2)</f>
        <v>408.46</v>
      </c>
      <c r="J42" s="7"/>
      <c r="K42" s="7">
        <f>ROUND(K35*0.4,2)</f>
        <v>408.46</v>
      </c>
      <c r="L42" s="7"/>
      <c r="M42" s="7">
        <f>ROUND(M35*0.4,2)</f>
        <v>0</v>
      </c>
      <c r="N42" s="7"/>
      <c r="O42" s="7">
        <f>ROUND(O35*0.4,2)</f>
        <v>408.46</v>
      </c>
      <c r="P42" s="7"/>
      <c r="Q42" s="7">
        <f>ROUND(Q35*0.4,2)</f>
        <v>408.46</v>
      </c>
    </row>
    <row r="43" spans="1:17" ht="26.25" customHeight="1" x14ac:dyDescent="0.25">
      <c r="A43" s="4"/>
      <c r="B43" s="4"/>
      <c r="C43" s="4" t="s">
        <v>12</v>
      </c>
      <c r="D43" s="4"/>
      <c r="E43" s="7">
        <f>ROUND((E35+E36+E37+E38+E39+E40+E41+E42)*0.05,2)</f>
        <v>143.22</v>
      </c>
      <c r="F43" s="7"/>
      <c r="G43" s="7">
        <f t="shared" ref="G43:Q43" si="23">ROUND((G35+G36+G37+G38+G39+G40+G41+G42)*0.05,2)</f>
        <v>0</v>
      </c>
      <c r="H43" s="7"/>
      <c r="I43" s="7">
        <f t="shared" si="23"/>
        <v>143.22</v>
      </c>
      <c r="J43" s="7"/>
      <c r="K43" s="7">
        <f t="shared" si="23"/>
        <v>156.49</v>
      </c>
      <c r="L43" s="7"/>
      <c r="M43" s="7">
        <f t="shared" si="23"/>
        <v>0</v>
      </c>
      <c r="N43" s="7"/>
      <c r="O43" s="7">
        <f t="shared" si="23"/>
        <v>143.22</v>
      </c>
      <c r="P43" s="7"/>
      <c r="Q43" s="7">
        <f t="shared" si="23"/>
        <v>156.49</v>
      </c>
    </row>
    <row r="44" spans="1:17" x14ac:dyDescent="0.25">
      <c r="A44" s="4"/>
      <c r="B44" s="4"/>
      <c r="C44" s="4" t="s">
        <v>13</v>
      </c>
      <c r="D44" s="4"/>
      <c r="E44" s="7">
        <f>ROUND((E35+E36+E37+E38+E39+E40+E41+E42)*0.01,2)</f>
        <v>28.64</v>
      </c>
      <c r="F44" s="3"/>
      <c r="G44" s="7">
        <f>ROUND((G35+G36+G37+G38+G39+G40+G41+G42)*0.01,2)</f>
        <v>0</v>
      </c>
      <c r="H44" s="3"/>
      <c r="I44" s="7">
        <f>ROUND((I35+I36+I37+I38+I39+I40+I41+I42)*0.01,2)</f>
        <v>28.64</v>
      </c>
      <c r="J44" s="3"/>
      <c r="K44" s="7">
        <f>ROUND((K35+K36+K37+K38+K39+K40+K41+K42)*0.01,2)</f>
        <v>31.3</v>
      </c>
      <c r="L44" s="3"/>
      <c r="M44" s="7">
        <f>ROUND((M35+M36+M37+M38+M39+M40+M41+M42)*0.01,2)</f>
        <v>0</v>
      </c>
      <c r="N44" s="3"/>
      <c r="O44" s="7">
        <f>ROUND((O35+O36+O37+O38+O39+O40+O41+O42)*0.01,2)</f>
        <v>28.64</v>
      </c>
      <c r="P44" s="3"/>
      <c r="Q44" s="7">
        <f>ROUND((Q35+Q36+Q37+Q38+Q39+Q40+Q41+Q42)*0.01,2)</f>
        <v>31.3</v>
      </c>
    </row>
    <row r="45" spans="1:17" ht="30" x14ac:dyDescent="0.25">
      <c r="A45" s="4"/>
      <c r="B45" s="4"/>
      <c r="C45" s="6" t="s">
        <v>14</v>
      </c>
      <c r="D45" s="4"/>
      <c r="E45" s="11">
        <f>ROUND((E35+E36+E37+E38+E39+E40+E41+E43+E44+E42)*0.302,2)</f>
        <v>916.94</v>
      </c>
      <c r="F45" s="11"/>
      <c r="G45" s="11">
        <f t="shared" ref="G45:Q45" si="24">ROUND((G35+G36+G37+G38+G39+G40+G41+G43+G44+G42)*0.302,2)</f>
        <v>0</v>
      </c>
      <c r="H45" s="11"/>
      <c r="I45" s="11">
        <f t="shared" si="24"/>
        <v>916.94</v>
      </c>
      <c r="J45" s="11"/>
      <c r="K45" s="11">
        <f t="shared" si="24"/>
        <v>1001.93</v>
      </c>
      <c r="L45" s="11"/>
      <c r="M45" s="11">
        <f t="shared" si="24"/>
        <v>0</v>
      </c>
      <c r="N45" s="11"/>
      <c r="O45" s="11">
        <f t="shared" si="24"/>
        <v>916.94</v>
      </c>
      <c r="P45" s="11"/>
      <c r="Q45" s="11">
        <f t="shared" si="24"/>
        <v>1001.93</v>
      </c>
    </row>
    <row r="46" spans="1:17" ht="55.5" customHeight="1" x14ac:dyDescent="0.25">
      <c r="A46" s="4"/>
      <c r="B46" s="4"/>
      <c r="C46" s="6" t="s">
        <v>22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0" t="s">
        <v>15</v>
      </c>
      <c r="D47" s="4"/>
      <c r="E47" s="7">
        <f>E35+E36+E37+E38+E39+E40+E41+E43+E44+E45+E42</f>
        <v>3953.1499999999996</v>
      </c>
      <c r="F47" s="7"/>
      <c r="G47" s="7">
        <f t="shared" ref="G47:Q47" si="25">G35+G36+G37+G38+G39+G40+G41+G43+G44+G45+G42</f>
        <v>0</v>
      </c>
      <c r="H47" s="7"/>
      <c r="I47" s="7">
        <f t="shared" si="25"/>
        <v>3953.1499999999996</v>
      </c>
      <c r="J47" s="7"/>
      <c r="K47" s="7">
        <f t="shared" si="25"/>
        <v>4319.57</v>
      </c>
      <c r="L47" s="7"/>
      <c r="M47" s="7">
        <f t="shared" si="25"/>
        <v>0</v>
      </c>
      <c r="N47" s="7"/>
      <c r="O47" s="7">
        <f t="shared" si="25"/>
        <v>3953.1499999999996</v>
      </c>
      <c r="P47" s="7"/>
      <c r="Q47" s="7">
        <f t="shared" si="25"/>
        <v>4319.57</v>
      </c>
    </row>
    <row r="48" spans="1:17" x14ac:dyDescent="0.25">
      <c r="A48" s="4"/>
      <c r="B48" s="4"/>
      <c r="C48" s="10" t="s">
        <v>16</v>
      </c>
      <c r="D48" s="4"/>
      <c r="E48" s="7">
        <f>ROUND(E47*12,2)</f>
        <v>47437.8</v>
      </c>
      <c r="F48" s="5"/>
      <c r="G48" s="7">
        <f>ROUND(G47*12,2)</f>
        <v>0</v>
      </c>
      <c r="H48" s="4"/>
      <c r="I48" s="7">
        <f>ROUND(I47*12,2)</f>
        <v>47437.8</v>
      </c>
      <c r="J48" s="17"/>
      <c r="K48" s="7">
        <f>ROUND(K47*12,2)</f>
        <v>51834.84</v>
      </c>
      <c r="L48" s="17"/>
      <c r="M48" s="15">
        <f>ROUND(M47*12,2)</f>
        <v>0</v>
      </c>
      <c r="N48" s="17"/>
      <c r="O48" s="15">
        <f>ROUND(O47*12,2)</f>
        <v>47437.8</v>
      </c>
      <c r="P48" s="17"/>
      <c r="Q48" s="7">
        <f>ROUND(Q47*12,2)</f>
        <v>51834.84</v>
      </c>
    </row>
    <row r="49" spans="1:17" ht="65.25" customHeight="1" x14ac:dyDescent="0.25">
      <c r="A49" s="3">
        <v>4</v>
      </c>
      <c r="B49" s="6" t="s">
        <v>18</v>
      </c>
      <c r="C49" s="6" t="s">
        <v>37</v>
      </c>
      <c r="D49" s="4"/>
      <c r="E49" s="7"/>
      <c r="F49" s="5"/>
      <c r="G49" s="7"/>
      <c r="H49" s="3"/>
      <c r="I49" s="7"/>
      <c r="J49" s="3">
        <v>1</v>
      </c>
      <c r="K49" s="7">
        <f>ROUND(8621*J49*1.043*1.038*1.01,2)</f>
        <v>9426.7199999999993</v>
      </c>
      <c r="L49" s="17"/>
      <c r="M49" s="15"/>
      <c r="N49" s="17"/>
      <c r="O49" s="15"/>
      <c r="P49" s="3">
        <v>1</v>
      </c>
      <c r="Q49" s="7">
        <f>ROUND(8621*P49*1.043*1.038*1.01,2)</f>
        <v>9426.7199999999993</v>
      </c>
    </row>
    <row r="50" spans="1:17" ht="45" x14ac:dyDescent="0.25">
      <c r="A50" s="4"/>
      <c r="B50" s="4"/>
      <c r="C50" s="6" t="s">
        <v>46</v>
      </c>
      <c r="D50" s="4"/>
      <c r="E50" s="7"/>
      <c r="F50" s="5"/>
      <c r="G50" s="7"/>
      <c r="H50" s="4"/>
      <c r="I50" s="7"/>
      <c r="J50" s="4"/>
      <c r="K50" s="7">
        <f>ROUND(K49*0.3,2)</f>
        <v>2828.02</v>
      </c>
      <c r="L50" s="17"/>
      <c r="M50" s="15"/>
      <c r="N50" s="17"/>
      <c r="O50" s="15"/>
      <c r="P50" s="4"/>
      <c r="Q50" s="7">
        <f>ROUND(Q49*0.3,2)</f>
        <v>2828.02</v>
      </c>
    </row>
    <row r="51" spans="1:17" ht="41.25" customHeight="1" x14ac:dyDescent="0.25">
      <c r="A51" s="4"/>
      <c r="B51" s="4"/>
      <c r="C51" s="6" t="s">
        <v>45</v>
      </c>
      <c r="D51" s="4"/>
      <c r="E51" s="7"/>
      <c r="F51" s="5"/>
      <c r="G51" s="7"/>
      <c r="H51" s="4"/>
      <c r="I51" s="7"/>
      <c r="J51" s="4"/>
      <c r="K51" s="7">
        <f>ROUND((K49+K50)*0.2,2)</f>
        <v>2450.9499999999998</v>
      </c>
      <c r="L51" s="17"/>
      <c r="M51" s="15"/>
      <c r="N51" s="17"/>
      <c r="O51" s="15"/>
      <c r="P51" s="4"/>
      <c r="Q51" s="7">
        <f>ROUND((Q49+Q50)*0.2,2)</f>
        <v>2450.9499999999998</v>
      </c>
    </row>
    <row r="52" spans="1:17" ht="60" x14ac:dyDescent="0.25">
      <c r="A52" s="4"/>
      <c r="B52" s="4"/>
      <c r="C52" s="6" t="s">
        <v>47</v>
      </c>
      <c r="D52" s="4"/>
      <c r="E52" s="7"/>
      <c r="F52" s="5"/>
      <c r="G52" s="7"/>
      <c r="H52" s="4"/>
      <c r="I52" s="7"/>
      <c r="J52" s="4"/>
      <c r="K52" s="7">
        <f>ROUND((K49+K50)*0.3,2)</f>
        <v>3676.42</v>
      </c>
      <c r="L52" s="17"/>
      <c r="M52" s="15"/>
      <c r="N52" s="17"/>
      <c r="O52" s="15"/>
      <c r="P52" s="4"/>
      <c r="Q52" s="7">
        <f>ROUND((Q49+Q50)*0.3,2)</f>
        <v>3676.42</v>
      </c>
    </row>
    <row r="53" spans="1:17" ht="50.25" customHeight="1" x14ac:dyDescent="0.25">
      <c r="A53" s="4"/>
      <c r="B53" s="4"/>
      <c r="C53" s="6" t="s">
        <v>56</v>
      </c>
      <c r="D53" s="4"/>
      <c r="E53" s="7"/>
      <c r="F53" s="5"/>
      <c r="G53" s="7"/>
      <c r="H53" s="4"/>
      <c r="I53" s="7"/>
      <c r="J53" s="4"/>
      <c r="K53" s="7">
        <f t="shared" ref="K53" si="26">ROUND(K49*0.25,2)</f>
        <v>2356.6799999999998</v>
      </c>
      <c r="L53" s="17"/>
      <c r="M53" s="15"/>
      <c r="N53" s="17"/>
      <c r="O53" s="15"/>
      <c r="P53" s="4"/>
      <c r="Q53" s="7">
        <f t="shared" ref="Q53" si="27">ROUND(Q49*0.25,2)</f>
        <v>2356.6799999999998</v>
      </c>
    </row>
    <row r="54" spans="1:17" ht="40.5" customHeight="1" x14ac:dyDescent="0.25">
      <c r="A54" s="4"/>
      <c r="B54" s="4"/>
      <c r="C54" s="6" t="s">
        <v>11</v>
      </c>
      <c r="D54" s="4"/>
      <c r="E54" s="7"/>
      <c r="F54" s="5"/>
      <c r="G54" s="7"/>
      <c r="H54" s="4"/>
      <c r="I54" s="7"/>
      <c r="J54" s="4"/>
      <c r="K54" s="7">
        <f>ROUND((K49+K50)*0.05,2)</f>
        <v>612.74</v>
      </c>
      <c r="L54" s="17"/>
      <c r="M54" s="15"/>
      <c r="N54" s="17"/>
      <c r="O54" s="15"/>
      <c r="P54" s="4"/>
      <c r="Q54" s="7">
        <f>ROUND((Q49+Q50)*0.05,2)</f>
        <v>612.74</v>
      </c>
    </row>
    <row r="55" spans="1:17" ht="45" x14ac:dyDescent="0.25">
      <c r="A55" s="4"/>
      <c r="B55" s="4"/>
      <c r="C55" s="6" t="s">
        <v>48</v>
      </c>
      <c r="D55" s="4"/>
      <c r="E55" s="7"/>
      <c r="F55" s="5"/>
      <c r="G55" s="7"/>
      <c r="H55" s="4"/>
      <c r="I55" s="7"/>
      <c r="J55" s="4"/>
      <c r="K55" s="7">
        <f>ROUND(K49*0.4,2)</f>
        <v>3770.69</v>
      </c>
      <c r="L55" s="17"/>
      <c r="M55" s="15"/>
      <c r="N55" s="17"/>
      <c r="O55" s="15"/>
      <c r="P55" s="4"/>
      <c r="Q55" s="7">
        <f>ROUND(Q49*0.2,2)</f>
        <v>1885.34</v>
      </c>
    </row>
    <row r="56" spans="1:17" ht="39.75" customHeight="1" x14ac:dyDescent="0.25">
      <c r="A56" s="4"/>
      <c r="B56" s="4"/>
      <c r="C56" s="6" t="s">
        <v>61</v>
      </c>
      <c r="D56" s="4"/>
      <c r="E56" s="7"/>
      <c r="F56" s="5"/>
      <c r="G56" s="7"/>
      <c r="H56" s="4"/>
      <c r="I56" s="7"/>
      <c r="J56" s="4"/>
      <c r="K56" s="7">
        <f>ROUND(K49*0.4,2)</f>
        <v>3770.69</v>
      </c>
      <c r="L56" s="17"/>
      <c r="M56" s="15"/>
      <c r="N56" s="17"/>
      <c r="O56" s="15"/>
      <c r="P56" s="4"/>
      <c r="Q56" s="7">
        <f>ROUND(Q49*0.4,2)</f>
        <v>3770.69</v>
      </c>
    </row>
    <row r="57" spans="1:17" x14ac:dyDescent="0.25">
      <c r="A57" s="4"/>
      <c r="B57" s="4"/>
      <c r="C57" s="4" t="s">
        <v>12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1444.65</v>
      </c>
      <c r="L57" s="17"/>
      <c r="M57" s="15"/>
      <c r="N57" s="17"/>
      <c r="O57" s="15"/>
      <c r="P57" s="4"/>
      <c r="Q57" s="7">
        <f>ROUND((Q49+Q50+Q51+Q52+Q53+Q54+Q55+Q56)*0.05,2)</f>
        <v>1350.38</v>
      </c>
    </row>
    <row r="58" spans="1:17" ht="24.75" customHeight="1" x14ac:dyDescent="0.25">
      <c r="A58" s="4"/>
      <c r="B58" s="4"/>
      <c r="C58" s="4" t="s">
        <v>13</v>
      </c>
      <c r="D58" s="4"/>
      <c r="E58" s="7"/>
      <c r="F58" s="5"/>
      <c r="G58" s="7"/>
      <c r="H58" s="4"/>
      <c r="I58" s="12"/>
      <c r="J58" s="4"/>
      <c r="K58" s="24">
        <f>ROUND((K49+K50+K51+K52+K53+K54+K55+K56)*0.01,2)</f>
        <v>288.93</v>
      </c>
      <c r="L58" s="17"/>
      <c r="M58" s="15"/>
      <c r="N58" s="17"/>
      <c r="O58" s="15"/>
      <c r="P58" s="4"/>
      <c r="Q58" s="24">
        <f>ROUND((Q49+Q50+Q51+Q52+Q53+Q54+Q55+Q56)*0.01,2)</f>
        <v>270.08</v>
      </c>
    </row>
    <row r="59" spans="1:17" ht="30" x14ac:dyDescent="0.25">
      <c r="A59" s="4"/>
      <c r="B59" s="4"/>
      <c r="C59" s="6" t="s">
        <v>14</v>
      </c>
      <c r="D59" s="4"/>
      <c r="E59" s="7"/>
      <c r="F59" s="5"/>
      <c r="G59" s="7"/>
      <c r="H59" s="4"/>
      <c r="I59" s="11"/>
      <c r="J59" s="4"/>
      <c r="K59" s="11">
        <f>ROUND((K49+K50+K51+K52+K53+K54+K55+K57+K58+K56)*0.302,2)</f>
        <v>9249.2000000000007</v>
      </c>
      <c r="L59" s="17"/>
      <c r="M59" s="15"/>
      <c r="N59" s="17"/>
      <c r="O59" s="15"/>
      <c r="P59" s="4"/>
      <c r="Q59" s="11">
        <f>ROUND((Q49+Q50+Q51+Q52+Q53+Q54+Q55+Q57+Q58+Q56)*0.302,2)</f>
        <v>8645.66</v>
      </c>
    </row>
    <row r="60" spans="1:17" ht="45" x14ac:dyDescent="0.25">
      <c r="A60" s="4"/>
      <c r="B60" s="4"/>
      <c r="C60" s="6" t="s">
        <v>23</v>
      </c>
      <c r="D60" s="4"/>
      <c r="E60" s="7"/>
      <c r="F60" s="5"/>
      <c r="G60" s="7"/>
      <c r="H60" s="4"/>
      <c r="I60" s="7"/>
      <c r="J60" s="4"/>
      <c r="K60" s="7"/>
      <c r="L60" s="17"/>
      <c r="M60" s="15"/>
      <c r="N60" s="17"/>
      <c r="O60" s="15"/>
      <c r="P60" s="4"/>
      <c r="Q60" s="7"/>
    </row>
    <row r="61" spans="1:17" x14ac:dyDescent="0.25">
      <c r="A61" s="4"/>
      <c r="B61" s="4"/>
      <c r="C61" s="10" t="s">
        <v>15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39875.69</v>
      </c>
      <c r="L61" s="17"/>
      <c r="M61" s="15"/>
      <c r="N61" s="17"/>
      <c r="O61" s="15"/>
      <c r="P61" s="4"/>
      <c r="Q61" s="7">
        <f>Q49+Q50+Q51+Q52+Q53+Q54+Q55+Q57+Q58+Q59+Q56</f>
        <v>37273.680000000008</v>
      </c>
    </row>
    <row r="62" spans="1:17" x14ac:dyDescent="0.25">
      <c r="A62" s="4"/>
      <c r="B62" s="4"/>
      <c r="C62" s="10" t="s">
        <v>16</v>
      </c>
      <c r="D62" s="4"/>
      <c r="E62" s="7"/>
      <c r="F62" s="5"/>
      <c r="G62" s="7"/>
      <c r="H62" s="4"/>
      <c r="I62" s="7"/>
      <c r="J62" s="4"/>
      <c r="K62" s="7">
        <f>ROUND(K61*12,2)</f>
        <v>478508.28</v>
      </c>
      <c r="L62" s="17"/>
      <c r="M62" s="15"/>
      <c r="N62" s="17"/>
      <c r="O62" s="15"/>
      <c r="P62" s="4"/>
      <c r="Q62" s="7">
        <f>ROUND(Q61*12,2)</f>
        <v>447284.16</v>
      </c>
    </row>
    <row r="63" spans="1:17" ht="30" x14ac:dyDescent="0.25">
      <c r="A63" s="3">
        <v>5</v>
      </c>
      <c r="B63" s="6" t="s">
        <v>20</v>
      </c>
      <c r="C63" s="6" t="s">
        <v>10</v>
      </c>
      <c r="D63" s="20">
        <v>8.3000000000000004E-2</v>
      </c>
      <c r="E63" s="7">
        <f>ROUND(8216*D63*1.043*1.038*1.01,2)</f>
        <v>745.66</v>
      </c>
      <c r="F63" s="20">
        <v>8.3000000000000004E-2</v>
      </c>
      <c r="G63" s="7">
        <f>ROUND(8216*F63*1.043*1.038*1.01,2)</f>
        <v>745.66</v>
      </c>
      <c r="H63" s="20">
        <v>8.3000000000000004E-2</v>
      </c>
      <c r="I63" s="7">
        <f>ROUND(8216*H63*1.043*1.038*1.01,2)</f>
        <v>745.66</v>
      </c>
      <c r="J63" s="20">
        <v>8.3000000000000004E-2</v>
      </c>
      <c r="K63" s="7">
        <f>ROUND(8216*J63*1.043*1.038*1.01,2)</f>
        <v>745.66</v>
      </c>
      <c r="L63" s="20">
        <v>8.3000000000000004E-2</v>
      </c>
      <c r="M63" s="7">
        <f>ROUND(8216*L63*1.043*1.038*1.01,2)</f>
        <v>745.66</v>
      </c>
      <c r="N63" s="21">
        <v>8.3000000000000004E-2</v>
      </c>
      <c r="O63" s="7">
        <f>ROUND(8216*N63*1.043*1.038*1.01,2)</f>
        <v>745.66</v>
      </c>
      <c r="P63" s="20">
        <v>8.3000000000000004E-2</v>
      </c>
      <c r="Q63" s="7">
        <f>ROUND(8216*P63*1.043*1.038*1.01,2)</f>
        <v>745.66</v>
      </c>
    </row>
    <row r="64" spans="1:17" ht="45" x14ac:dyDescent="0.25">
      <c r="A64" s="4"/>
      <c r="B64" s="4"/>
      <c r="C64" s="6" t="s">
        <v>50</v>
      </c>
      <c r="D64" s="4"/>
      <c r="E64" s="7">
        <f>ROUND(E63*0.3,2)</f>
        <v>223.7</v>
      </c>
      <c r="F64" s="5"/>
      <c r="G64" s="7">
        <f>ROUND(G63*0.3,2)</f>
        <v>223.7</v>
      </c>
      <c r="H64" s="4"/>
      <c r="I64" s="7">
        <f>ROUND(I63*0.3,2)</f>
        <v>223.7</v>
      </c>
      <c r="J64" s="17"/>
      <c r="K64" s="7">
        <f>ROUND(K63*0.3,2)</f>
        <v>223.7</v>
      </c>
      <c r="L64" s="17"/>
      <c r="M64" s="15">
        <f>ROUND(M63*0.3,2)</f>
        <v>223.7</v>
      </c>
      <c r="N64" s="17"/>
      <c r="O64" s="15">
        <f>ROUND(O63*0.3,2)</f>
        <v>223.7</v>
      </c>
      <c r="P64" s="17"/>
      <c r="Q64" s="7">
        <f>ROUND(Q63*0.3,2)</f>
        <v>223.7</v>
      </c>
    </row>
    <row r="65" spans="1:17" ht="45" x14ac:dyDescent="0.25">
      <c r="A65" s="4"/>
      <c r="B65" s="4"/>
      <c r="C65" s="6" t="s">
        <v>51</v>
      </c>
      <c r="D65" s="4"/>
      <c r="E65" s="7"/>
      <c r="F65" s="5"/>
      <c r="G65" s="7"/>
      <c r="H65" s="4"/>
      <c r="I65" s="7"/>
      <c r="J65" s="17"/>
      <c r="K65" s="7">
        <f>ROUND((K63+K64)*0.2,2)</f>
        <v>193.87</v>
      </c>
      <c r="L65" s="17"/>
      <c r="M65" s="15"/>
      <c r="N65" s="17"/>
      <c r="O65" s="15"/>
      <c r="P65" s="17"/>
      <c r="Q65" s="7">
        <f>ROUND((Q63+Q64)*0.2,2)</f>
        <v>193.87</v>
      </c>
    </row>
    <row r="66" spans="1:17" ht="60" x14ac:dyDescent="0.25">
      <c r="A66" s="4"/>
      <c r="B66" s="4"/>
      <c r="C66" s="6" t="s">
        <v>55</v>
      </c>
      <c r="D66" s="4"/>
      <c r="E66" s="7">
        <f>ROUND((E63+E64)*0.3,2)</f>
        <v>290.81</v>
      </c>
      <c r="F66" s="5"/>
      <c r="G66" s="7">
        <f>ROUND((G63+G64)*0.3,2)</f>
        <v>290.81</v>
      </c>
      <c r="H66" s="4"/>
      <c r="I66" s="7">
        <f>ROUND((I63+I64)*0.3,2)</f>
        <v>290.81</v>
      </c>
      <c r="J66" s="17"/>
      <c r="K66" s="7">
        <f>ROUND((K63+K64)*0.3,2)</f>
        <v>290.81</v>
      </c>
      <c r="L66" s="17"/>
      <c r="M66" s="15">
        <f>ROUND((M63+M64)*0.3,2)</f>
        <v>290.81</v>
      </c>
      <c r="N66" s="17"/>
      <c r="O66" s="15">
        <f>ROUND((O63+O64)*0.3,2)</f>
        <v>290.81</v>
      </c>
      <c r="P66" s="17"/>
      <c r="Q66" s="7">
        <f>ROUND((Q63+Q64)*0.3,2)</f>
        <v>290.81</v>
      </c>
    </row>
    <row r="67" spans="1:17" ht="60.75" customHeight="1" x14ac:dyDescent="0.25">
      <c r="A67" s="4"/>
      <c r="B67" s="4"/>
      <c r="C67" s="6" t="s">
        <v>57</v>
      </c>
      <c r="D67" s="4"/>
      <c r="E67" s="7">
        <f>ROUND(E63*0.25,2)</f>
        <v>186.42</v>
      </c>
      <c r="F67" s="7"/>
      <c r="G67" s="7">
        <f t="shared" ref="G67:O67" si="28">ROUND(G63*0.25,2)</f>
        <v>186.42</v>
      </c>
      <c r="H67" s="7"/>
      <c r="I67" s="7">
        <f t="shared" si="28"/>
        <v>186.42</v>
      </c>
      <c r="J67" s="7"/>
      <c r="K67" s="7">
        <f t="shared" ref="K67" si="29">ROUND(K63*0.25,2)</f>
        <v>186.42</v>
      </c>
      <c r="L67" s="7"/>
      <c r="M67" s="15">
        <f t="shared" si="28"/>
        <v>186.42</v>
      </c>
      <c r="N67" s="15"/>
      <c r="O67" s="15">
        <f t="shared" si="28"/>
        <v>186.42</v>
      </c>
      <c r="P67" s="7"/>
      <c r="Q67" s="7">
        <f t="shared" ref="Q67" si="30">ROUND(Q63*0.25,2)</f>
        <v>186.42</v>
      </c>
    </row>
    <row r="68" spans="1:17" ht="45.75" customHeight="1" x14ac:dyDescent="0.25">
      <c r="A68" s="4"/>
      <c r="B68" s="4"/>
      <c r="C68" s="6" t="s">
        <v>11</v>
      </c>
      <c r="D68" s="4"/>
      <c r="E68" s="7">
        <f>ROUND((E63+E64)*0.05,2)</f>
        <v>48.47</v>
      </c>
      <c r="F68" s="7"/>
      <c r="G68" s="7">
        <f t="shared" ref="G68:Q68" si="31">ROUND((G63+G64)*0.05,2)</f>
        <v>48.47</v>
      </c>
      <c r="H68" s="7"/>
      <c r="I68" s="7">
        <f t="shared" si="31"/>
        <v>48.47</v>
      </c>
      <c r="J68" s="7"/>
      <c r="K68" s="7">
        <f t="shared" si="31"/>
        <v>48.47</v>
      </c>
      <c r="L68" s="7"/>
      <c r="M68" s="7">
        <f t="shared" si="31"/>
        <v>48.47</v>
      </c>
      <c r="N68" s="7"/>
      <c r="O68" s="7">
        <f t="shared" si="31"/>
        <v>48.47</v>
      </c>
      <c r="P68" s="7"/>
      <c r="Q68" s="7">
        <f t="shared" si="31"/>
        <v>48.47</v>
      </c>
    </row>
    <row r="69" spans="1:17" ht="45" x14ac:dyDescent="0.25">
      <c r="A69" s="4"/>
      <c r="B69" s="4"/>
      <c r="C69" s="6" t="s">
        <v>52</v>
      </c>
      <c r="D69" s="4"/>
      <c r="E69" s="7">
        <f>ROUND(E63*0.4,2)</f>
        <v>298.26</v>
      </c>
      <c r="F69" s="7"/>
      <c r="G69" s="7">
        <f t="shared" ref="G69:Q69" si="32">ROUND(G63*0.4,2)</f>
        <v>298.26</v>
      </c>
      <c r="H69" s="7"/>
      <c r="I69" s="7">
        <f t="shared" si="32"/>
        <v>298.26</v>
      </c>
      <c r="J69" s="7"/>
      <c r="K69" s="7">
        <f t="shared" si="32"/>
        <v>298.26</v>
      </c>
      <c r="L69" s="7"/>
      <c r="M69" s="7">
        <f t="shared" si="32"/>
        <v>298.26</v>
      </c>
      <c r="N69" s="7"/>
      <c r="O69" s="7">
        <f t="shared" si="32"/>
        <v>298.26</v>
      </c>
      <c r="P69" s="7"/>
      <c r="Q69" s="7">
        <f t="shared" si="32"/>
        <v>298.26</v>
      </c>
    </row>
    <row r="70" spans="1:17" ht="52.5" customHeight="1" x14ac:dyDescent="0.25">
      <c r="A70" s="4"/>
      <c r="B70" s="4"/>
      <c r="C70" s="6" t="s">
        <v>62</v>
      </c>
      <c r="D70" s="4"/>
      <c r="E70" s="7">
        <f>ROUND(E63*0.4,2)</f>
        <v>298.26</v>
      </c>
      <c r="F70" s="7"/>
      <c r="G70" s="7">
        <f>ROUND(G63*0.4,2)</f>
        <v>298.26</v>
      </c>
      <c r="H70" s="7"/>
      <c r="I70" s="7">
        <f>ROUND(I63*0.4,2)</f>
        <v>298.26</v>
      </c>
      <c r="J70" s="7"/>
      <c r="K70" s="7">
        <f>ROUND(K63*0.4,2)</f>
        <v>298.26</v>
      </c>
      <c r="L70" s="7"/>
      <c r="M70" s="7">
        <f>ROUND(M63*0.4,2)</f>
        <v>298.26</v>
      </c>
      <c r="N70" s="7"/>
      <c r="O70" s="7">
        <f>ROUND(O63*0.4,2)</f>
        <v>298.26</v>
      </c>
      <c r="P70" s="7"/>
      <c r="Q70" s="7">
        <f>ROUND(Q63*0.4,2)</f>
        <v>298.26</v>
      </c>
    </row>
    <row r="71" spans="1:17" x14ac:dyDescent="0.25">
      <c r="A71" s="4"/>
      <c r="B71" s="4"/>
      <c r="C71" s="4" t="s">
        <v>12</v>
      </c>
      <c r="D71" s="4"/>
      <c r="E71" s="7">
        <f>ROUND((E63+E64+F65+E66+E67+E68+E69+E70)*0.05,2)</f>
        <v>104.58</v>
      </c>
      <c r="F71" s="7"/>
      <c r="G71" s="7">
        <f t="shared" ref="G71:Q71" si="33">ROUND((G63+G64+H65+G66+G67+G68+G69+G70)*0.05,2)</f>
        <v>104.58</v>
      </c>
      <c r="H71" s="7"/>
      <c r="I71" s="7">
        <f t="shared" si="33"/>
        <v>104.58</v>
      </c>
      <c r="J71" s="7"/>
      <c r="K71" s="7">
        <f t="shared" si="33"/>
        <v>104.58</v>
      </c>
      <c r="L71" s="7"/>
      <c r="M71" s="7">
        <f t="shared" si="33"/>
        <v>104.58</v>
      </c>
      <c r="N71" s="7"/>
      <c r="O71" s="7">
        <f t="shared" si="33"/>
        <v>104.58</v>
      </c>
      <c r="P71" s="7"/>
      <c r="Q71" s="7">
        <f t="shared" si="33"/>
        <v>104.58</v>
      </c>
    </row>
    <row r="72" spans="1:17" x14ac:dyDescent="0.25">
      <c r="A72" s="4"/>
      <c r="B72" s="4"/>
      <c r="C72" s="4" t="s">
        <v>13</v>
      </c>
      <c r="D72" s="4"/>
      <c r="E72" s="3">
        <f>ROUND((E63+E64+E65+E66+E67+E68+E69+E70)*0.01,2)</f>
        <v>20.92</v>
      </c>
      <c r="F72" s="3"/>
      <c r="G72" s="3">
        <f t="shared" ref="G72:Q72" si="34">ROUND((G63+G64+G65+G66+G67+G68+G69+G70)*0.01,2)</f>
        <v>20.92</v>
      </c>
      <c r="H72" s="3"/>
      <c r="I72" s="3">
        <f t="shared" si="34"/>
        <v>20.92</v>
      </c>
      <c r="J72" s="3"/>
      <c r="K72" s="3">
        <f t="shared" si="34"/>
        <v>22.85</v>
      </c>
      <c r="L72" s="3"/>
      <c r="M72" s="3">
        <f t="shared" si="34"/>
        <v>20.92</v>
      </c>
      <c r="N72" s="3"/>
      <c r="O72" s="3">
        <f t="shared" si="34"/>
        <v>20.92</v>
      </c>
      <c r="P72" s="3"/>
      <c r="Q72" s="3">
        <f t="shared" si="34"/>
        <v>22.85</v>
      </c>
    </row>
    <row r="73" spans="1:17" ht="30" x14ac:dyDescent="0.25">
      <c r="A73" s="4"/>
      <c r="B73" s="4"/>
      <c r="C73" s="6" t="s">
        <v>14</v>
      </c>
      <c r="D73" s="4"/>
      <c r="E73" s="11">
        <f>ROUND((E63+E64+E65+E66+E67+E68+E69+E71+E72+E70)*0.302,2)</f>
        <v>669.56</v>
      </c>
      <c r="F73" s="11"/>
      <c r="G73" s="11">
        <f t="shared" ref="G73:Q73" si="35">ROUND((G63+G64+G65+G66+G67+G68+G69+G71+G72+G70)*0.302,2)</f>
        <v>669.56</v>
      </c>
      <c r="H73" s="11"/>
      <c r="I73" s="11">
        <f t="shared" si="35"/>
        <v>669.56</v>
      </c>
      <c r="J73" s="11"/>
      <c r="K73" s="11">
        <f t="shared" si="35"/>
        <v>728.69</v>
      </c>
      <c r="L73" s="11"/>
      <c r="M73" s="11">
        <f t="shared" si="35"/>
        <v>669.56</v>
      </c>
      <c r="N73" s="11"/>
      <c r="O73" s="11">
        <f t="shared" si="35"/>
        <v>669.56</v>
      </c>
      <c r="P73" s="11"/>
      <c r="Q73" s="11">
        <f t="shared" si="35"/>
        <v>728.69</v>
      </c>
    </row>
    <row r="74" spans="1:17" ht="30" x14ac:dyDescent="0.25">
      <c r="A74" s="4"/>
      <c r="B74" s="4"/>
      <c r="C74" s="6" t="s">
        <v>24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0" t="s">
        <v>15</v>
      </c>
      <c r="D75" s="4"/>
      <c r="E75" s="7">
        <f>E63+E64+E65+E66+E67+E68+E69+E71+E72+E73+E70</f>
        <v>2886.6400000000003</v>
      </c>
      <c r="F75" s="7"/>
      <c r="G75" s="7">
        <f t="shared" ref="G75:Q75" si="36">G63+G64+G65+G66+G67+G68+G69+G71+G72+G73+G70</f>
        <v>2886.6400000000003</v>
      </c>
      <c r="H75" s="7"/>
      <c r="I75" s="7">
        <f t="shared" si="36"/>
        <v>2886.6400000000003</v>
      </c>
      <c r="J75" s="7"/>
      <c r="K75" s="7">
        <f t="shared" si="36"/>
        <v>3141.5699999999997</v>
      </c>
      <c r="L75" s="7"/>
      <c r="M75" s="7">
        <f t="shared" si="36"/>
        <v>2886.6400000000003</v>
      </c>
      <c r="N75" s="7"/>
      <c r="O75" s="7">
        <f t="shared" si="36"/>
        <v>2886.6400000000003</v>
      </c>
      <c r="P75" s="7"/>
      <c r="Q75" s="7">
        <f t="shared" si="36"/>
        <v>3141.5699999999997</v>
      </c>
    </row>
    <row r="76" spans="1:17" x14ac:dyDescent="0.25">
      <c r="A76" s="4"/>
      <c r="B76" s="4"/>
      <c r="C76" s="10" t="s">
        <v>16</v>
      </c>
      <c r="D76" s="4"/>
      <c r="E76" s="7">
        <f>ROUND(E75*12,2)</f>
        <v>34639.68</v>
      </c>
      <c r="F76" s="5"/>
      <c r="G76" s="7">
        <f>ROUND(G75*12,2)</f>
        <v>34639.68</v>
      </c>
      <c r="H76" s="4"/>
      <c r="I76" s="7">
        <f>ROUND(I75*12,2)</f>
        <v>34639.68</v>
      </c>
      <c r="J76" s="17"/>
      <c r="K76" s="7">
        <f>ROUND(K75*12,2)</f>
        <v>37698.839999999997</v>
      </c>
      <c r="L76" s="17"/>
      <c r="M76" s="15">
        <f>ROUND(M75*12,2)</f>
        <v>34639.68</v>
      </c>
      <c r="N76" s="17"/>
      <c r="O76" s="15">
        <f>ROUND(O75*12,2)</f>
        <v>34639.68</v>
      </c>
      <c r="P76" s="17"/>
      <c r="Q76" s="7">
        <f>ROUND(Q75*12,2)</f>
        <v>37698.839999999997</v>
      </c>
    </row>
    <row r="77" spans="1:17" ht="30" x14ac:dyDescent="0.25">
      <c r="A77" s="3">
        <v>6</v>
      </c>
      <c r="B77" s="6" t="s">
        <v>7</v>
      </c>
      <c r="C77" s="6" t="s">
        <v>10</v>
      </c>
      <c r="D77" s="18">
        <v>1</v>
      </c>
      <c r="E77" s="7">
        <f>ROUND(5194*D77*1.043*1.038*1.01,0)</f>
        <v>5679</v>
      </c>
      <c r="F77" s="18">
        <v>1.25</v>
      </c>
      <c r="G77" s="7">
        <f>ROUND(5194*F77*1.043*1.038*1.01,0)</f>
        <v>7099</v>
      </c>
      <c r="H77" s="18">
        <v>1.25</v>
      </c>
      <c r="I77" s="7">
        <f>ROUND(5194*H77*1.043*1.038*1.01,0)</f>
        <v>7099</v>
      </c>
      <c r="J77" s="18">
        <v>1.25</v>
      </c>
      <c r="K77" s="7">
        <f>ROUND(5194*J77*1.043*1.038*1.01,0)</f>
        <v>7099</v>
      </c>
      <c r="L77" s="18">
        <v>1.5</v>
      </c>
      <c r="M77" s="7">
        <f>ROUND(5194*L77*1.043*1.038*1.01,0)</f>
        <v>8519</v>
      </c>
      <c r="N77" s="18">
        <v>1.25</v>
      </c>
      <c r="O77" s="7">
        <f>ROUND(5194*N77*1.043*1.038*1.01,0)</f>
        <v>7099</v>
      </c>
      <c r="P77" s="18">
        <v>1.25</v>
      </c>
      <c r="Q77" s="7">
        <f>ROUND(5194*P77*1.043*1.038*1.01,0)</f>
        <v>7099</v>
      </c>
    </row>
    <row r="78" spans="1:17" ht="30" x14ac:dyDescent="0.25">
      <c r="A78" s="3"/>
      <c r="B78" s="6"/>
      <c r="C78" s="6" t="s">
        <v>53</v>
      </c>
      <c r="D78" s="18"/>
      <c r="E78" s="7"/>
      <c r="F78" s="18"/>
      <c r="G78" s="7"/>
      <c r="H78" s="18"/>
      <c r="I78" s="7"/>
      <c r="J78" s="18"/>
      <c r="K78" s="7">
        <f>ROUND(K77*0.2,2)</f>
        <v>1419.8</v>
      </c>
      <c r="L78" s="18"/>
      <c r="M78" s="15"/>
      <c r="N78" s="18"/>
      <c r="O78" s="15"/>
      <c r="P78" s="18"/>
      <c r="Q78" s="7">
        <f>ROUND(Q77*0.2,2)</f>
        <v>1419.8</v>
      </c>
    </row>
    <row r="79" spans="1:17" ht="45" x14ac:dyDescent="0.25">
      <c r="A79" s="4"/>
      <c r="B79" s="4"/>
      <c r="C79" s="6" t="s">
        <v>54</v>
      </c>
      <c r="D79" s="4"/>
      <c r="E79" s="7">
        <f>ROUND(E77*0.3,0)</f>
        <v>1704</v>
      </c>
      <c r="F79" s="4"/>
      <c r="G79" s="7">
        <f>ROUND(G77*0.3,0)</f>
        <v>2130</v>
      </c>
      <c r="H79" s="4"/>
      <c r="I79" s="7">
        <f>ROUND(I77*0.3,0)</f>
        <v>2130</v>
      </c>
      <c r="J79" s="17"/>
      <c r="K79" s="7">
        <f>ROUND(K77*0.3,0)</f>
        <v>2130</v>
      </c>
      <c r="L79" s="17"/>
      <c r="M79" s="15">
        <f>ROUND(M77*0.3,0)</f>
        <v>2556</v>
      </c>
      <c r="N79" s="17"/>
      <c r="O79" s="15">
        <f>ROUND(O77*0.3,0)</f>
        <v>2130</v>
      </c>
      <c r="P79" s="17"/>
      <c r="Q79" s="7">
        <f>ROUND(Q77*0.3,0)</f>
        <v>2130</v>
      </c>
    </row>
    <row r="80" spans="1:17" ht="45" x14ac:dyDescent="0.25">
      <c r="A80" s="4"/>
      <c r="B80" s="4"/>
      <c r="C80" s="6" t="s">
        <v>11</v>
      </c>
      <c r="D80" s="4"/>
      <c r="E80" s="7">
        <f>ROUND((E77)*0.05,2)</f>
        <v>283.95</v>
      </c>
      <c r="F80" s="7"/>
      <c r="G80" s="7">
        <f t="shared" ref="G80:Q80" si="37">ROUND((G77)*0.05,2)</f>
        <v>354.95</v>
      </c>
      <c r="H80" s="7"/>
      <c r="I80" s="7">
        <f t="shared" si="37"/>
        <v>354.95</v>
      </c>
      <c r="J80" s="7"/>
      <c r="K80" s="7">
        <f t="shared" si="37"/>
        <v>354.95</v>
      </c>
      <c r="L80" s="7"/>
      <c r="M80" s="7">
        <f t="shared" si="37"/>
        <v>425.95</v>
      </c>
      <c r="N80" s="7"/>
      <c r="O80" s="7">
        <f t="shared" si="37"/>
        <v>354.95</v>
      </c>
      <c r="P80" s="7"/>
      <c r="Q80" s="7">
        <f t="shared" si="37"/>
        <v>354.95</v>
      </c>
    </row>
    <row r="81" spans="1:17" ht="30.75" customHeight="1" x14ac:dyDescent="0.25">
      <c r="A81" s="4"/>
      <c r="B81" s="4"/>
      <c r="C81" s="6" t="s">
        <v>34</v>
      </c>
      <c r="D81" s="4"/>
      <c r="E81" s="7">
        <f>ROUND(E77*0.2,2)</f>
        <v>1135.8</v>
      </c>
      <c r="F81" s="7"/>
      <c r="G81" s="7">
        <f t="shared" ref="G81:Q81" si="38">ROUND(G77*0.2,2)</f>
        <v>1419.8</v>
      </c>
      <c r="H81" s="7"/>
      <c r="I81" s="7">
        <f t="shared" si="38"/>
        <v>1419.8</v>
      </c>
      <c r="J81" s="7"/>
      <c r="K81" s="7">
        <f t="shared" si="38"/>
        <v>1419.8</v>
      </c>
      <c r="L81" s="7"/>
      <c r="M81" s="7">
        <f t="shared" si="38"/>
        <v>1703.8</v>
      </c>
      <c r="N81" s="7"/>
      <c r="O81" s="7">
        <f t="shared" si="38"/>
        <v>1419.8</v>
      </c>
      <c r="P81" s="7"/>
      <c r="Q81" s="7">
        <f t="shared" si="38"/>
        <v>1419.8</v>
      </c>
    </row>
    <row r="82" spans="1:17" x14ac:dyDescent="0.25">
      <c r="A82" s="4"/>
      <c r="B82" s="4"/>
      <c r="C82" s="4" t="s">
        <v>12</v>
      </c>
      <c r="D82" s="4"/>
      <c r="E82" s="7">
        <f>ROUND((E77+E78+E79+E80+E81)*0.05,0)</f>
        <v>440</v>
      </c>
      <c r="F82" s="7"/>
      <c r="G82" s="7">
        <f t="shared" ref="G82:Q82" si="39">ROUND((G77+G78+G79+G80+G81)*0.05,0)</f>
        <v>550</v>
      </c>
      <c r="H82" s="7"/>
      <c r="I82" s="7">
        <f t="shared" si="39"/>
        <v>550</v>
      </c>
      <c r="J82" s="7"/>
      <c r="K82" s="7">
        <f t="shared" si="39"/>
        <v>621</v>
      </c>
      <c r="L82" s="7"/>
      <c r="M82" s="7">
        <f t="shared" si="39"/>
        <v>660</v>
      </c>
      <c r="N82" s="7"/>
      <c r="O82" s="7">
        <f t="shared" si="39"/>
        <v>550</v>
      </c>
      <c r="P82" s="7"/>
      <c r="Q82" s="7">
        <f t="shared" si="39"/>
        <v>621</v>
      </c>
    </row>
    <row r="83" spans="1:17" x14ac:dyDescent="0.25">
      <c r="A83" s="4"/>
      <c r="B83" s="4"/>
      <c r="C83" s="4" t="s">
        <v>13</v>
      </c>
      <c r="D83" s="4"/>
      <c r="E83" s="7">
        <f>ROUND((E77+E78+E79+E80+E81)*0.01,2)</f>
        <v>88.03</v>
      </c>
      <c r="F83" s="7"/>
      <c r="G83" s="7">
        <f t="shared" ref="G83:Q83" si="40">ROUND((G77+G78+G79+G80+G81)*0.01,2)</f>
        <v>110.04</v>
      </c>
      <c r="H83" s="7"/>
      <c r="I83" s="7">
        <f t="shared" si="40"/>
        <v>110.04</v>
      </c>
      <c r="J83" s="7"/>
      <c r="K83" s="7">
        <f t="shared" si="40"/>
        <v>124.24</v>
      </c>
      <c r="L83" s="7"/>
      <c r="M83" s="7">
        <f t="shared" si="40"/>
        <v>132.05000000000001</v>
      </c>
      <c r="N83" s="7"/>
      <c r="O83" s="7">
        <f t="shared" si="40"/>
        <v>110.04</v>
      </c>
      <c r="P83" s="7"/>
      <c r="Q83" s="7">
        <f t="shared" si="40"/>
        <v>124.24</v>
      </c>
    </row>
    <row r="84" spans="1:17" x14ac:dyDescent="0.25">
      <c r="A84" s="4"/>
      <c r="B84" s="4"/>
      <c r="C84" s="4" t="s">
        <v>32</v>
      </c>
      <c r="D84" s="4"/>
      <c r="E84" s="7">
        <f>ROUND((11280-(E77+E78+E79+E80+E82+E81)/D77)*D77,2)</f>
        <v>2037.25</v>
      </c>
      <c r="F84" s="7"/>
      <c r="G84" s="7">
        <f>ROUND((11280-(G77+G78+G79+G80+G82+G81)/F77)*F77,2)</f>
        <v>2546.25</v>
      </c>
      <c r="H84" s="7"/>
      <c r="I84" s="7">
        <f>ROUND((11280-(I77+I78+I79+I80+I82+I81)/H77)*H77,2)</f>
        <v>2546.25</v>
      </c>
      <c r="J84" s="7"/>
      <c r="K84" s="7">
        <f>ROUND((11280-(K77+K78+K79+K80+K82+K81)/J77)*J77,2)</f>
        <v>1055.45</v>
      </c>
      <c r="L84" s="7"/>
      <c r="M84" s="7">
        <f>ROUND((11280-(M77+M78+M79+M80+M82+M81)/L77)*L77,2)</f>
        <v>3055.25</v>
      </c>
      <c r="N84" s="7"/>
      <c r="O84" s="7">
        <f>ROUND((11280-(O77+O78+O79+O80+O82+O81)/N77)*N77,2)</f>
        <v>2546.25</v>
      </c>
      <c r="P84" s="7"/>
      <c r="Q84" s="7">
        <f>ROUND((11280-(Q77+Q78+Q79+Q80+Q82+Q81)/P77)*P77,2)</f>
        <v>1055.45</v>
      </c>
    </row>
    <row r="85" spans="1:17" x14ac:dyDescent="0.25">
      <c r="A85" s="4"/>
      <c r="B85" s="4"/>
      <c r="C85" s="4" t="s">
        <v>33</v>
      </c>
      <c r="D85" s="4"/>
      <c r="E85" s="7">
        <f>ROUND(11280/29.3*28*D77/365*28,2)</f>
        <v>826.92</v>
      </c>
      <c r="F85" s="7"/>
      <c r="G85" s="7">
        <f>ROUND(11280/29.3*28*F77/365*28,2)</f>
        <v>1033.6500000000001</v>
      </c>
      <c r="H85" s="7"/>
      <c r="I85" s="7">
        <f>ROUND(11280/29.3*28*H77/365*28,2)</f>
        <v>1033.6500000000001</v>
      </c>
      <c r="J85" s="7"/>
      <c r="K85" s="7">
        <f>ROUND(11280/29.3*28*J77/365*28,2)</f>
        <v>1033.6500000000001</v>
      </c>
      <c r="L85" s="7"/>
      <c r="M85" s="7">
        <f>ROUND(11280/29.3*28*L77/365*28,2)</f>
        <v>1240.3800000000001</v>
      </c>
      <c r="N85" s="7"/>
      <c r="O85" s="7">
        <f>ROUND(11280/29.3*28*N77/365*28,2)</f>
        <v>1033.6500000000001</v>
      </c>
      <c r="P85" s="7"/>
      <c r="Q85" s="7">
        <f>ROUND(11280/29.3*28*P77/365*28,2)</f>
        <v>1033.6500000000001</v>
      </c>
    </row>
    <row r="86" spans="1:17" ht="30" x14ac:dyDescent="0.25">
      <c r="A86" s="4"/>
      <c r="B86" s="4"/>
      <c r="C86" s="6" t="s">
        <v>14</v>
      </c>
      <c r="D86" s="4"/>
      <c r="E86" s="7">
        <f>ROUND((E77+E78+E79+E80+E82+E83+E84+E85+E81)*0.302,0)</f>
        <v>3683</v>
      </c>
      <c r="F86" s="7"/>
      <c r="G86" s="7">
        <f t="shared" ref="G86:Q86" si="41">ROUND((G77+G78+G79+G80+G82+G83+G84+G85+G81)*0.302,0)</f>
        <v>4604</v>
      </c>
      <c r="H86" s="7"/>
      <c r="I86" s="7">
        <f t="shared" si="41"/>
        <v>4604</v>
      </c>
      <c r="J86" s="7"/>
      <c r="K86" s="7">
        <f t="shared" si="41"/>
        <v>4608</v>
      </c>
      <c r="L86" s="7"/>
      <c r="M86" s="7">
        <f t="shared" si="41"/>
        <v>5524</v>
      </c>
      <c r="N86" s="7"/>
      <c r="O86" s="7">
        <f t="shared" si="41"/>
        <v>4604</v>
      </c>
      <c r="P86" s="7"/>
      <c r="Q86" s="7">
        <f t="shared" si="41"/>
        <v>4608</v>
      </c>
    </row>
    <row r="87" spans="1:17" ht="30" x14ac:dyDescent="0.25">
      <c r="A87" s="4"/>
      <c r="B87" s="4"/>
      <c r="C87" s="6" t="s">
        <v>25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0" t="s">
        <v>15</v>
      </c>
      <c r="D88" s="4"/>
      <c r="E88" s="7">
        <f>E77+E78+E79+E80+E82+E83+E86+E84+E85+E81</f>
        <v>15877.949999999999</v>
      </c>
      <c r="F88" s="7"/>
      <c r="G88" s="7">
        <f t="shared" ref="G88:Q88" si="42">G77+G78+G79+G80+G82+G83+G86+G84+G85+G81</f>
        <v>19847.690000000002</v>
      </c>
      <c r="H88" s="7"/>
      <c r="I88" s="7">
        <f t="shared" si="42"/>
        <v>19847.690000000002</v>
      </c>
      <c r="J88" s="7"/>
      <c r="K88" s="7">
        <f t="shared" si="42"/>
        <v>19865.89</v>
      </c>
      <c r="L88" s="7"/>
      <c r="M88" s="7">
        <f t="shared" si="42"/>
        <v>23816.43</v>
      </c>
      <c r="N88" s="7"/>
      <c r="O88" s="7">
        <f t="shared" si="42"/>
        <v>19847.690000000002</v>
      </c>
      <c r="P88" s="7"/>
      <c r="Q88" s="7">
        <f t="shared" si="42"/>
        <v>19865.89</v>
      </c>
    </row>
    <row r="89" spans="1:17" x14ac:dyDescent="0.25">
      <c r="A89" s="4"/>
      <c r="B89" s="4"/>
      <c r="C89" s="10" t="s">
        <v>16</v>
      </c>
      <c r="D89" s="4"/>
      <c r="E89" s="7">
        <f>ROUND(E88*12,0)</f>
        <v>190535</v>
      </c>
      <c r="F89" s="4"/>
      <c r="G89" s="7">
        <f>ROUND(G88*12,0)</f>
        <v>238172</v>
      </c>
      <c r="H89" s="4"/>
      <c r="I89" s="7">
        <f>ROUND(I88*12,0)</f>
        <v>238172</v>
      </c>
      <c r="J89" s="17"/>
      <c r="K89" s="7">
        <f>ROUND(K88*12,0)</f>
        <v>238391</v>
      </c>
      <c r="L89" s="17"/>
      <c r="M89" s="15">
        <f>ROUND(M88*12,0)</f>
        <v>285797</v>
      </c>
      <c r="N89" s="17"/>
      <c r="O89" s="15">
        <f>ROUND(O88*12,0)</f>
        <v>238172</v>
      </c>
      <c r="P89" s="17"/>
      <c r="Q89" s="7">
        <f>ROUND(Q88*12,0)</f>
        <v>238391</v>
      </c>
    </row>
    <row r="90" spans="1:17" ht="45.75" customHeight="1" x14ac:dyDescent="0.25">
      <c r="A90" s="3">
        <v>7</v>
      </c>
      <c r="B90" s="6" t="s">
        <v>36</v>
      </c>
      <c r="C90" s="6" t="s">
        <v>37</v>
      </c>
      <c r="D90" s="18">
        <v>1</v>
      </c>
      <c r="E90" s="7">
        <f>ROUND(3880*D90*1.043*1.038*1.01,0)</f>
        <v>4243</v>
      </c>
      <c r="F90" s="18">
        <v>1</v>
      </c>
      <c r="G90" s="7">
        <f>ROUND(3880*F90*1.043*1.038*1.01,0)</f>
        <v>4243</v>
      </c>
      <c r="H90" s="18">
        <v>1</v>
      </c>
      <c r="I90" s="7">
        <f>ROUND(3880*H90*1.043*1.038*1.01,0)</f>
        <v>4243</v>
      </c>
      <c r="J90" s="18">
        <v>1</v>
      </c>
      <c r="K90" s="7">
        <f>ROUND(3880*J90*1.043*1.038*1.01,0)</f>
        <v>4243</v>
      </c>
      <c r="L90" s="18">
        <v>1</v>
      </c>
      <c r="M90" s="7">
        <f>ROUND(3880*L90*1.043*1.038*1.01,0)</f>
        <v>4243</v>
      </c>
      <c r="N90" s="18">
        <v>1</v>
      </c>
      <c r="O90" s="7">
        <f>ROUND(3880*N90*1.043*1.038*1.01,0)</f>
        <v>4243</v>
      </c>
      <c r="P90" s="18">
        <v>1</v>
      </c>
      <c r="Q90" s="7">
        <f>ROUND(3880*P90*1.043*1.038*1.01,0)</f>
        <v>4243</v>
      </c>
    </row>
    <row r="91" spans="1:17" ht="45" x14ac:dyDescent="0.25">
      <c r="A91" s="4"/>
      <c r="B91" s="4"/>
      <c r="C91" s="6" t="s">
        <v>11</v>
      </c>
      <c r="D91" s="4"/>
      <c r="E91" s="7">
        <f>ROUND((E90)*0.05,2)</f>
        <v>212.15</v>
      </c>
      <c r="F91" s="7"/>
      <c r="G91" s="7">
        <f t="shared" ref="G91:Q91" si="43">ROUND((G90)*0.05,2)</f>
        <v>212.15</v>
      </c>
      <c r="H91" s="7"/>
      <c r="I91" s="7">
        <f t="shared" si="43"/>
        <v>212.15</v>
      </c>
      <c r="J91" s="7"/>
      <c r="K91" s="7">
        <f t="shared" si="43"/>
        <v>212.15</v>
      </c>
      <c r="L91" s="7"/>
      <c r="M91" s="7">
        <f t="shared" si="43"/>
        <v>212.15</v>
      </c>
      <c r="N91" s="7"/>
      <c r="O91" s="7">
        <f t="shared" si="43"/>
        <v>212.15</v>
      </c>
      <c r="P91" s="7"/>
      <c r="Q91" s="7">
        <f t="shared" si="43"/>
        <v>212.15</v>
      </c>
    </row>
    <row r="92" spans="1:17" ht="30.75" customHeight="1" x14ac:dyDescent="0.25">
      <c r="A92" s="4"/>
      <c r="B92" s="4"/>
      <c r="C92" s="6" t="s">
        <v>38</v>
      </c>
      <c r="D92" s="4"/>
      <c r="E92" s="7">
        <f>ROUND(E90*0.2,2)</f>
        <v>848.6</v>
      </c>
      <c r="F92" s="7"/>
      <c r="G92" s="7">
        <f t="shared" ref="G92:Q92" si="44">ROUND(G90*0.2,2)</f>
        <v>848.6</v>
      </c>
      <c r="H92" s="7"/>
      <c r="I92" s="7">
        <f t="shared" si="44"/>
        <v>848.6</v>
      </c>
      <c r="J92" s="7"/>
      <c r="K92" s="7">
        <f t="shared" si="44"/>
        <v>848.6</v>
      </c>
      <c r="L92" s="7"/>
      <c r="M92" s="7">
        <f t="shared" si="44"/>
        <v>848.6</v>
      </c>
      <c r="N92" s="7"/>
      <c r="O92" s="7">
        <f t="shared" si="44"/>
        <v>848.6</v>
      </c>
      <c r="P92" s="7"/>
      <c r="Q92" s="7">
        <f t="shared" si="44"/>
        <v>848.6</v>
      </c>
    </row>
    <row r="93" spans="1:17" x14ac:dyDescent="0.25">
      <c r="A93" s="4"/>
      <c r="B93" s="4"/>
      <c r="C93" s="4" t="s">
        <v>12</v>
      </c>
      <c r="D93" s="4"/>
      <c r="E93" s="7">
        <f>ROUND((E90+E91+E92)*0.05,0)</f>
        <v>265</v>
      </c>
      <c r="F93" s="7"/>
      <c r="G93" s="7">
        <f t="shared" ref="G93:Q93" si="45">ROUND((G90+G91+G92)*0.05,0)</f>
        <v>265</v>
      </c>
      <c r="H93" s="7"/>
      <c r="I93" s="7">
        <f t="shared" si="45"/>
        <v>265</v>
      </c>
      <c r="J93" s="7"/>
      <c r="K93" s="7">
        <f t="shared" si="45"/>
        <v>265</v>
      </c>
      <c r="L93" s="7"/>
      <c r="M93" s="7">
        <f t="shared" si="45"/>
        <v>265</v>
      </c>
      <c r="N93" s="7"/>
      <c r="O93" s="7">
        <f t="shared" si="45"/>
        <v>265</v>
      </c>
      <c r="P93" s="7"/>
      <c r="Q93" s="7">
        <f t="shared" si="45"/>
        <v>265</v>
      </c>
    </row>
    <row r="94" spans="1:17" x14ac:dyDescent="0.25">
      <c r="A94" s="4"/>
      <c r="B94" s="4"/>
      <c r="C94" s="4" t="s">
        <v>13</v>
      </c>
      <c r="D94" s="4"/>
      <c r="E94" s="7">
        <f>ROUND((E90+E91+E92)*0.01,2)</f>
        <v>53.04</v>
      </c>
      <c r="F94" s="7"/>
      <c r="G94" s="7">
        <f t="shared" ref="G94:Q94" si="46">ROUND((G90+G91+G92)*0.01,2)</f>
        <v>53.04</v>
      </c>
      <c r="H94" s="7"/>
      <c r="I94" s="7">
        <f t="shared" si="46"/>
        <v>53.04</v>
      </c>
      <c r="J94" s="7"/>
      <c r="K94" s="7">
        <f t="shared" si="46"/>
        <v>53.04</v>
      </c>
      <c r="L94" s="7"/>
      <c r="M94" s="7">
        <f t="shared" si="46"/>
        <v>53.04</v>
      </c>
      <c r="N94" s="7"/>
      <c r="O94" s="7">
        <f t="shared" si="46"/>
        <v>53.04</v>
      </c>
      <c r="P94" s="7"/>
      <c r="Q94" s="7">
        <f t="shared" si="46"/>
        <v>53.04</v>
      </c>
    </row>
    <row r="95" spans="1:17" x14ac:dyDescent="0.25">
      <c r="A95" s="4"/>
      <c r="B95" s="4"/>
      <c r="C95" s="4" t="s">
        <v>32</v>
      </c>
      <c r="D95" s="4"/>
      <c r="E95" s="7">
        <f>ROUND((11280-(E90+E91+E93+E92)/D90)*D90,2)</f>
        <v>5711.25</v>
      </c>
      <c r="F95" s="7"/>
      <c r="G95" s="7">
        <f>ROUND((11280-(G90+G91+G93+G92)/F90)*F90,2)</f>
        <v>5711.25</v>
      </c>
      <c r="H95" s="7"/>
      <c r="I95" s="7">
        <f>ROUND((11280-(I90+I91+I93+I92)/H90)*H90,2)</f>
        <v>5711.25</v>
      </c>
      <c r="J95" s="7"/>
      <c r="K95" s="7">
        <f>ROUND((11280-(K90+K91+K93+K92)/J90)*J90,2)</f>
        <v>5711.25</v>
      </c>
      <c r="L95" s="7"/>
      <c r="M95" s="7">
        <f>ROUND((11280-(M90+M91+M93+M92)/L90)*L90,2)</f>
        <v>5711.25</v>
      </c>
      <c r="N95" s="7"/>
      <c r="O95" s="7">
        <f>ROUND((11280-(O90+O91+O93+O92)/N90)*N90,2)</f>
        <v>5711.25</v>
      </c>
      <c r="P95" s="7"/>
      <c r="Q95" s="7">
        <f>ROUND((11280-(Q90+Q91+Q93+Q92)/P90)*P90,2)</f>
        <v>5711.25</v>
      </c>
    </row>
    <row r="96" spans="1:17" x14ac:dyDescent="0.25">
      <c r="A96" s="4"/>
      <c r="B96" s="4"/>
      <c r="C96" s="4" t="s">
        <v>33</v>
      </c>
      <c r="D96" s="4"/>
      <c r="E96" s="7">
        <f>ROUND(11280/29.3*28*D90/365*28,2)</f>
        <v>826.92</v>
      </c>
      <c r="F96" s="7"/>
      <c r="G96" s="7">
        <f>ROUND(11280/29.3*28*F90/365*28,2)</f>
        <v>826.92</v>
      </c>
      <c r="H96" s="7"/>
      <c r="I96" s="7">
        <f>ROUND(11280/29.3*28*H90/365*28,2)</f>
        <v>826.92</v>
      </c>
      <c r="J96" s="7"/>
      <c r="K96" s="7">
        <f>ROUND(11280/29.3*28*J90/365*28,2)</f>
        <v>826.92</v>
      </c>
      <c r="L96" s="7"/>
      <c r="M96" s="7">
        <f>ROUND(11280/29.3*28*L90/365*28,2)</f>
        <v>826.92</v>
      </c>
      <c r="N96" s="7"/>
      <c r="O96" s="7">
        <f>ROUND(11280/29.3*28*N90/365*28,2)</f>
        <v>826.92</v>
      </c>
      <c r="P96" s="7"/>
      <c r="Q96" s="7">
        <f>ROUND(11280/29.3*28*P90/365*28,2)</f>
        <v>826.92</v>
      </c>
    </row>
    <row r="97" spans="1:19" ht="30" x14ac:dyDescent="0.25">
      <c r="A97" s="4"/>
      <c r="B97" s="4"/>
      <c r="C97" s="6" t="s">
        <v>14</v>
      </c>
      <c r="D97" s="4"/>
      <c r="E97" s="7">
        <f>ROUND((E90+E91+E93+E94+E95+E96+E92)*0.302,0)</f>
        <v>3672</v>
      </c>
      <c r="F97" s="7"/>
      <c r="G97" s="7">
        <f t="shared" ref="G97:Q97" si="47">ROUND((G90+G91+G93+G94+G95+G96+G92)*0.302,0)</f>
        <v>3672</v>
      </c>
      <c r="H97" s="7"/>
      <c r="I97" s="7">
        <f t="shared" si="47"/>
        <v>3672</v>
      </c>
      <c r="J97" s="7"/>
      <c r="K97" s="7">
        <f t="shared" si="47"/>
        <v>3672</v>
      </c>
      <c r="L97" s="7"/>
      <c r="M97" s="7">
        <f t="shared" si="47"/>
        <v>3672</v>
      </c>
      <c r="N97" s="7"/>
      <c r="O97" s="7">
        <f t="shared" si="47"/>
        <v>3672</v>
      </c>
      <c r="P97" s="7"/>
      <c r="Q97" s="7">
        <f t="shared" si="47"/>
        <v>3672</v>
      </c>
    </row>
    <row r="98" spans="1:19" ht="30" x14ac:dyDescent="0.25">
      <c r="A98" s="4"/>
      <c r="B98" s="4"/>
      <c r="C98" s="6" t="s">
        <v>39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0" t="s">
        <v>15</v>
      </c>
      <c r="D99" s="4"/>
      <c r="E99" s="7">
        <f>E90+E91+E93+E94+E97+E95+E96+E92</f>
        <v>15831.96</v>
      </c>
      <c r="F99" s="7"/>
      <c r="G99" s="7">
        <f t="shared" ref="G99:Q99" si="48">G90+G91+G93+G94+G97+G95+G96+G92</f>
        <v>15831.96</v>
      </c>
      <c r="H99" s="7"/>
      <c r="I99" s="7">
        <f t="shared" si="48"/>
        <v>15831.96</v>
      </c>
      <c r="J99" s="7"/>
      <c r="K99" s="7">
        <f t="shared" si="48"/>
        <v>15831.96</v>
      </c>
      <c r="L99" s="7"/>
      <c r="M99" s="7">
        <f t="shared" si="48"/>
        <v>15831.96</v>
      </c>
      <c r="N99" s="7"/>
      <c r="O99" s="7">
        <f t="shared" si="48"/>
        <v>15831.96</v>
      </c>
      <c r="P99" s="7"/>
      <c r="Q99" s="7">
        <f t="shared" si="48"/>
        <v>15831.96</v>
      </c>
    </row>
    <row r="100" spans="1:19" x14ac:dyDescent="0.25">
      <c r="A100" s="4"/>
      <c r="B100" s="4"/>
      <c r="C100" s="10" t="s">
        <v>16</v>
      </c>
      <c r="D100" s="4"/>
      <c r="E100" s="7">
        <f>ROUND(E99*12,0)</f>
        <v>189984</v>
      </c>
      <c r="F100" s="7"/>
      <c r="G100" s="7">
        <f t="shared" ref="G100:Q100" si="49">ROUND(G99*12,0)</f>
        <v>189984</v>
      </c>
      <c r="H100" s="7"/>
      <c r="I100" s="7">
        <f t="shared" si="49"/>
        <v>189984</v>
      </c>
      <c r="J100" s="7"/>
      <c r="K100" s="7">
        <f t="shared" si="49"/>
        <v>189984</v>
      </c>
      <c r="L100" s="7"/>
      <c r="M100" s="7">
        <f t="shared" si="49"/>
        <v>189984</v>
      </c>
      <c r="N100" s="7"/>
      <c r="O100" s="7">
        <f t="shared" si="49"/>
        <v>189984</v>
      </c>
      <c r="P100" s="7"/>
      <c r="Q100" s="7">
        <f t="shared" si="49"/>
        <v>189984</v>
      </c>
    </row>
    <row r="101" spans="1:19" ht="19.5" customHeight="1" x14ac:dyDescent="0.25">
      <c r="A101" s="4"/>
      <c r="B101" s="63" t="s">
        <v>29</v>
      </c>
      <c r="C101" s="64"/>
      <c r="D101" s="4"/>
      <c r="E101" s="4"/>
      <c r="F101" s="4"/>
      <c r="G101" s="4"/>
      <c r="H101" s="4"/>
      <c r="I101" s="4"/>
      <c r="J101" s="4"/>
      <c r="K101" s="4"/>
      <c r="L101" s="4"/>
      <c r="M101" s="17"/>
      <c r="N101" s="17"/>
      <c r="O101" s="17"/>
      <c r="P101" s="4"/>
      <c r="Q101" s="4"/>
    </row>
    <row r="102" spans="1:19" ht="36.75" customHeight="1" x14ac:dyDescent="0.25">
      <c r="A102" s="4"/>
      <c r="B102" s="6"/>
      <c r="C102" s="6" t="s">
        <v>58</v>
      </c>
      <c r="D102" s="7"/>
      <c r="E102" s="7">
        <f>ROUND((E19+E34+E48+E62+E76+E89+E100)*0.192,2)</f>
        <v>217807.23</v>
      </c>
      <c r="F102" s="7"/>
      <c r="G102" s="7">
        <f t="shared" ref="G102:Q102" si="50">ROUND((G19+G34+G48+G62+G76+G89+G100)*0.192,2)</f>
        <v>230251.96</v>
      </c>
      <c r="H102" s="7"/>
      <c r="I102" s="7">
        <f t="shared" si="50"/>
        <v>239360.02</v>
      </c>
      <c r="J102" s="7"/>
      <c r="K102" s="7">
        <f t="shared" si="50"/>
        <v>408966.26</v>
      </c>
      <c r="L102" s="7"/>
      <c r="M102" s="7">
        <f t="shared" si="50"/>
        <v>293453.05</v>
      </c>
      <c r="N102" s="7"/>
      <c r="O102" s="7">
        <f t="shared" si="50"/>
        <v>293417.11</v>
      </c>
      <c r="P102" s="7"/>
      <c r="Q102" s="7">
        <f t="shared" si="50"/>
        <v>442521.16</v>
      </c>
    </row>
    <row r="103" spans="1:19" ht="64.5" customHeight="1" x14ac:dyDescent="0.25">
      <c r="A103" s="4"/>
      <c r="B103" s="58" t="s">
        <v>31</v>
      </c>
      <c r="C103" s="62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60</v>
      </c>
      <c r="D104" s="7"/>
      <c r="E104" s="7">
        <f>ROUND((E19+E34+E48+E62+E76+E89+E100)*0.028,2)</f>
        <v>31763.55</v>
      </c>
      <c r="F104" s="7"/>
      <c r="G104" s="7">
        <f t="shared" ref="G104:Q104" si="51">ROUND((G19+G34+G48+G62+G76+G89+G100)*0.028,2)</f>
        <v>33578.410000000003</v>
      </c>
      <c r="H104" s="7"/>
      <c r="I104" s="7">
        <f t="shared" si="51"/>
        <v>34906.67</v>
      </c>
      <c r="J104" s="7"/>
      <c r="K104" s="7">
        <f t="shared" si="51"/>
        <v>59640.91</v>
      </c>
      <c r="L104" s="7"/>
      <c r="M104" s="7">
        <f t="shared" si="51"/>
        <v>42795.24</v>
      </c>
      <c r="N104" s="7"/>
      <c r="O104" s="7">
        <f t="shared" si="51"/>
        <v>42790</v>
      </c>
      <c r="P104" s="7"/>
      <c r="Q104" s="7">
        <f t="shared" si="51"/>
        <v>64534.34</v>
      </c>
    </row>
    <row r="105" spans="1:19" ht="66.75" customHeight="1" x14ac:dyDescent="0.25">
      <c r="A105" s="4"/>
      <c r="B105" s="58" t="s">
        <v>35</v>
      </c>
      <c r="C105" s="6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59</v>
      </c>
      <c r="D106" s="7"/>
      <c r="E106" s="7">
        <f>ROUND((E19+E34+E48+E62+E76+E89+E100)*0.038,2)</f>
        <v>43107.68</v>
      </c>
      <c r="F106" s="7"/>
      <c r="G106" s="7">
        <f t="shared" ref="G106:Q106" si="52">ROUND((G19+G34+G48+G62+G76+G89+G100)*0.038,2)</f>
        <v>45570.7</v>
      </c>
      <c r="H106" s="7"/>
      <c r="I106" s="7">
        <f t="shared" si="52"/>
        <v>47373.34</v>
      </c>
      <c r="J106" s="7"/>
      <c r="K106" s="7">
        <f t="shared" si="52"/>
        <v>80941.240000000005</v>
      </c>
      <c r="L106" s="7"/>
      <c r="M106" s="7">
        <f t="shared" si="52"/>
        <v>58079.25</v>
      </c>
      <c r="N106" s="7"/>
      <c r="O106" s="7">
        <f t="shared" si="52"/>
        <v>58072.14</v>
      </c>
      <c r="P106" s="7"/>
      <c r="Q106" s="7">
        <f t="shared" si="52"/>
        <v>87582.31</v>
      </c>
    </row>
    <row r="107" spans="1:19" ht="68.25" customHeight="1" x14ac:dyDescent="0.25">
      <c r="A107" s="4"/>
      <c r="B107" s="58" t="s">
        <v>30</v>
      </c>
      <c r="C107" s="62"/>
      <c r="D107" s="4"/>
      <c r="E107" s="22">
        <f>E19+E34+E48+E62+E76+E89+E100+E102+E104+E106</f>
        <v>1427091.1</v>
      </c>
      <c r="F107" s="22"/>
      <c r="G107" s="22">
        <f t="shared" ref="G107:Q107" si="53">G19+G34+G48+G62+G76+G89+G100+G102+G104+G106</f>
        <v>1508630.0299999998</v>
      </c>
      <c r="H107" s="22"/>
      <c r="I107" s="22">
        <f t="shared" si="53"/>
        <v>1568306.7900000003</v>
      </c>
      <c r="J107" s="22"/>
      <c r="K107" s="22">
        <f t="shared" si="53"/>
        <v>2679581.0100000007</v>
      </c>
      <c r="L107" s="22"/>
      <c r="M107" s="22">
        <f t="shared" si="53"/>
        <v>1922728.86</v>
      </c>
      <c r="N107" s="22"/>
      <c r="O107" s="22">
        <f t="shared" si="53"/>
        <v>1922493.3699999999</v>
      </c>
      <c r="P107" s="22"/>
      <c r="Q107" s="22">
        <f t="shared" si="53"/>
        <v>2899435.53</v>
      </c>
    </row>
    <row r="108" spans="1:19" ht="22.5" customHeight="1" x14ac:dyDescent="0.25">
      <c r="A108" s="4"/>
      <c r="B108" s="69"/>
      <c r="C108" s="70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5"/>
      <c r="O108" s="7"/>
      <c r="P108" s="4"/>
      <c r="Q108" s="7"/>
    </row>
    <row r="109" spans="1:19" ht="35.25" customHeight="1" x14ac:dyDescent="0.25">
      <c r="A109" s="4"/>
      <c r="B109" s="58" t="s">
        <v>41</v>
      </c>
      <c r="C109" s="62"/>
      <c r="D109" s="25">
        <v>25</v>
      </c>
      <c r="E109" s="5">
        <f>ROUND(E107/D109,0)</f>
        <v>57084</v>
      </c>
      <c r="F109" s="25">
        <v>20</v>
      </c>
      <c r="G109" s="5">
        <f>ROUND(G107/F109,0)</f>
        <v>75432</v>
      </c>
      <c r="H109" s="25">
        <v>25</v>
      </c>
      <c r="I109" s="5">
        <f>ROUND(I107/H109,0)</f>
        <v>62732</v>
      </c>
      <c r="J109" s="25">
        <v>10</v>
      </c>
      <c r="K109" s="5">
        <f>ROUND(K107/J109,0)</f>
        <v>267958</v>
      </c>
      <c r="L109" s="25">
        <v>20</v>
      </c>
      <c r="M109" s="5">
        <f>ROUND(M107/L109,0)</f>
        <v>96136</v>
      </c>
      <c r="N109" s="26">
        <v>25</v>
      </c>
      <c r="O109" s="5">
        <f>ROUND(O107/N109,0)</f>
        <v>76900</v>
      </c>
      <c r="P109" s="26">
        <v>10</v>
      </c>
      <c r="Q109" s="5">
        <f>ROUND(Q107/P109,0)</f>
        <v>289944</v>
      </c>
      <c r="R109" s="27"/>
      <c r="S109" s="28"/>
    </row>
    <row r="110" spans="1:19" ht="46.5" customHeight="1" x14ac:dyDescent="0.25">
      <c r="A110" s="4"/>
      <c r="B110" s="58" t="s">
        <v>42</v>
      </c>
      <c r="C110" s="59"/>
      <c r="D110" s="4"/>
      <c r="E110" s="44">
        <v>57084</v>
      </c>
      <c r="F110" s="4"/>
      <c r="G110" s="44">
        <v>57084</v>
      </c>
      <c r="H110" s="4"/>
      <c r="I110" s="44">
        <v>57084</v>
      </c>
      <c r="J110" s="4"/>
      <c r="K110" s="44">
        <v>57084</v>
      </c>
      <c r="L110" s="4"/>
      <c r="M110" s="44">
        <v>57084</v>
      </c>
      <c r="N110" s="17"/>
      <c r="O110" s="44">
        <v>57084</v>
      </c>
      <c r="P110" s="4"/>
      <c r="Q110" s="44">
        <v>57084</v>
      </c>
    </row>
    <row r="111" spans="1:19" ht="84" customHeight="1" x14ac:dyDescent="0.25">
      <c r="A111" s="4"/>
      <c r="B111" s="60" t="s">
        <v>43</v>
      </c>
      <c r="C111" s="61"/>
      <c r="D111" s="4"/>
      <c r="E111" s="3">
        <f>ROUND(E109/E110,3)</f>
        <v>1</v>
      </c>
      <c r="F111" s="4"/>
      <c r="G111" s="3">
        <f>ROUND(G109/G110,3)</f>
        <v>1.321</v>
      </c>
      <c r="H111" s="4"/>
      <c r="I111" s="3">
        <f>ROUND(I109/I110,3)</f>
        <v>1.099</v>
      </c>
      <c r="J111" s="4"/>
      <c r="K111" s="3">
        <f>ROUND(K109/K110,3)</f>
        <v>4.694</v>
      </c>
      <c r="L111" s="4"/>
      <c r="M111" s="3">
        <f>ROUND(M109/M110,3)</f>
        <v>1.6839999999999999</v>
      </c>
      <c r="N111" s="17"/>
      <c r="O111" s="3">
        <f>ROUND(O109/O110,3)</f>
        <v>1.347</v>
      </c>
      <c r="P111" s="4"/>
      <c r="Q111" s="3">
        <f>ROUND(Q109/Q110,3)</f>
        <v>5.0789999999999997</v>
      </c>
    </row>
  </sheetData>
  <mergeCells count="20">
    <mergeCell ref="A1:Q1"/>
    <mergeCell ref="A2:A4"/>
    <mergeCell ref="B2:B4"/>
    <mergeCell ref="C2:C4"/>
    <mergeCell ref="D2:Q2"/>
    <mergeCell ref="D3:E3"/>
    <mergeCell ref="F3:G3"/>
    <mergeCell ref="H3:I3"/>
    <mergeCell ref="J3:K3"/>
    <mergeCell ref="L3:M3"/>
    <mergeCell ref="P3:Q3"/>
    <mergeCell ref="B101:C101"/>
    <mergeCell ref="B103:C103"/>
    <mergeCell ref="B105:C105"/>
    <mergeCell ref="B107:C107"/>
    <mergeCell ref="B108:C108"/>
    <mergeCell ref="B109:C109"/>
    <mergeCell ref="B110:C110"/>
    <mergeCell ref="B111:C111"/>
    <mergeCell ref="N3:O3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Село-2019</vt:lpstr>
      <vt:lpstr>Город-2019</vt:lpstr>
      <vt:lpstr>Город-2020</vt:lpstr>
      <vt:lpstr>Село-2020</vt:lpstr>
      <vt:lpstr>Город-2021</vt:lpstr>
      <vt:lpstr>Село-2021</vt:lpstr>
      <vt:lpstr>'Город-2019'!Заголовки_для_печати</vt:lpstr>
      <vt:lpstr>'Город-2020'!Заголовки_для_печати</vt:lpstr>
      <vt:lpstr>'Город-2021'!Заголовки_для_печати</vt:lpstr>
      <vt:lpstr>'Село-2019'!Заголовки_для_печати</vt:lpstr>
      <vt:lpstr>'Село-2020'!Заголовки_для_печати</vt:lpstr>
      <vt:lpstr>'Село-2021'!Заголовки_для_печати</vt:lpstr>
      <vt:lpstr>'Город-2019'!Область_печати</vt:lpstr>
      <vt:lpstr>'Город-2020'!Область_печати</vt:lpstr>
      <vt:lpstr>'Город-2021'!Область_печати</vt:lpstr>
      <vt:lpstr>'Село-2019'!Область_печати</vt:lpstr>
      <vt:lpstr>'Село-2020'!Область_печати</vt:lpstr>
      <vt:lpstr>'Село-2021'!Область_печати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2019-04-24T13:14:14Z</dcterms:modified>
</cp:coreProperties>
</file>