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Село" sheetId="7" r:id="rId1"/>
    <sheet name="Город" sheetId="9" r:id="rId2"/>
  </sheets>
  <definedNames>
    <definedName name="_xlnm.Print_Titles" localSheetId="1">Город!$A:$C,Город!$2:$4</definedName>
    <definedName name="_xlnm.Print_Titles" localSheetId="0">Село!$A:$C,Село!$2:$4</definedName>
    <definedName name="_xlnm.Print_Area" localSheetId="1">Город!$A$1:$Q$108</definedName>
    <definedName name="_xlnm.Print_Area" localSheetId="0">Село!$A$1:$Q$113</definedName>
  </definedNames>
  <calcPr calcId="145621"/>
</workbook>
</file>

<file path=xl/calcChain.xml><?xml version="1.0" encoding="utf-8"?>
<calcChain xmlns="http://schemas.openxmlformats.org/spreadsheetml/2006/main">
  <c r="Q113" i="7" l="1"/>
  <c r="O113" i="7"/>
  <c r="M113" i="7"/>
  <c r="K113" i="7"/>
  <c r="I113" i="7"/>
  <c r="G113" i="7"/>
  <c r="E113" i="7"/>
  <c r="Q108" i="9"/>
  <c r="O108" i="9"/>
  <c r="M108" i="9"/>
  <c r="K108" i="9"/>
  <c r="I108" i="9"/>
  <c r="G108" i="9"/>
  <c r="E108" i="9"/>
  <c r="Q111" i="7" l="1"/>
  <c r="O111" i="7"/>
  <c r="M111" i="7"/>
  <c r="K111" i="7"/>
  <c r="I111" i="7"/>
  <c r="G111" i="7"/>
  <c r="E111" i="7"/>
  <c r="E91" i="9" l="1"/>
  <c r="E85" i="9"/>
  <c r="E80" i="9"/>
  <c r="E74" i="9"/>
  <c r="E72" i="9"/>
  <c r="E76" i="9" s="1"/>
  <c r="E59" i="9"/>
  <c r="E34" i="9"/>
  <c r="E33" i="9"/>
  <c r="E39" i="9" s="1"/>
  <c r="E14" i="9"/>
  <c r="E20" i="9"/>
  <c r="E26" i="9" s="1"/>
  <c r="E5" i="9"/>
  <c r="E10" i="9" l="1"/>
  <c r="E25" i="9"/>
  <c r="E11" i="9"/>
  <c r="E37" i="9"/>
  <c r="E64" i="9"/>
  <c r="E36" i="9"/>
  <c r="E38" i="9"/>
  <c r="E40" i="9" s="1"/>
  <c r="E60" i="9"/>
  <c r="E63" i="9" s="1"/>
  <c r="E65" i="9"/>
  <c r="E75" i="9"/>
  <c r="E86" i="9"/>
  <c r="E41" i="9"/>
  <c r="E62" i="9"/>
  <c r="E78" i="9"/>
  <c r="E87" i="9"/>
  <c r="E88" i="9" s="1"/>
  <c r="E89" i="9"/>
  <c r="E21" i="9"/>
  <c r="E23" i="9" s="1"/>
  <c r="E6" i="9"/>
  <c r="E8" i="9" s="1"/>
  <c r="G106" i="7"/>
  <c r="I106" i="7"/>
  <c r="K106" i="7"/>
  <c r="M106" i="7"/>
  <c r="O106" i="7"/>
  <c r="Q106" i="7"/>
  <c r="E106" i="7"/>
  <c r="Q51" i="9"/>
  <c r="K51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24" i="9" l="1"/>
  <c r="E28" i="9" s="1"/>
  <c r="E9" i="9"/>
  <c r="E13" i="9" s="1"/>
  <c r="E90" i="9"/>
  <c r="E92" i="9" s="1"/>
  <c r="E94" i="9" s="1"/>
  <c r="E95" i="9" s="1"/>
  <c r="E67" i="9"/>
  <c r="E66" i="9"/>
  <c r="E42" i="9"/>
  <c r="E44" i="9" s="1"/>
  <c r="E45" i="9" s="1"/>
  <c r="E77" i="9"/>
  <c r="E79" i="9" s="1"/>
  <c r="Q56" i="7"/>
  <c r="E12" i="9" l="1"/>
  <c r="E15" i="9" s="1"/>
  <c r="E27" i="9"/>
  <c r="E81" i="9"/>
  <c r="E83" i="9" s="1"/>
  <c r="E84" i="9" s="1"/>
  <c r="E68" i="9"/>
  <c r="E70" i="9" s="1"/>
  <c r="E71" i="9" s="1"/>
  <c r="K14" i="7"/>
  <c r="K13" i="7"/>
  <c r="E29" i="9" l="1"/>
  <c r="E31" i="9" s="1"/>
  <c r="E32" i="9" s="1"/>
  <c r="E101" i="9" s="1"/>
  <c r="E17" i="9"/>
  <c r="E18" i="9" s="1"/>
  <c r="K16" i="7"/>
  <c r="K18" i="7" s="1"/>
  <c r="K19" i="7" s="1"/>
  <c r="I14" i="9"/>
  <c r="K14" i="9"/>
  <c r="M14" i="9"/>
  <c r="O14" i="9"/>
  <c r="Q14" i="9"/>
  <c r="Q91" i="9"/>
  <c r="O91" i="9"/>
  <c r="M91" i="9"/>
  <c r="K91" i="9"/>
  <c r="I91" i="9"/>
  <c r="G91" i="9"/>
  <c r="Q85" i="9"/>
  <c r="O85" i="9"/>
  <c r="M85" i="9"/>
  <c r="K85" i="9"/>
  <c r="I85" i="9"/>
  <c r="G85" i="9"/>
  <c r="Q80" i="9"/>
  <c r="O80" i="9"/>
  <c r="M80" i="9"/>
  <c r="K80" i="9"/>
  <c r="I80" i="9"/>
  <c r="G80" i="9"/>
  <c r="Q72" i="9"/>
  <c r="O72" i="9"/>
  <c r="O74" i="9" s="1"/>
  <c r="M72" i="9"/>
  <c r="K72" i="9"/>
  <c r="K74" i="9" s="1"/>
  <c r="I72" i="9"/>
  <c r="G72" i="9"/>
  <c r="Q59" i="9"/>
  <c r="Q64" i="9" s="1"/>
  <c r="O59" i="9"/>
  <c r="O64" i="9" s="1"/>
  <c r="M59" i="9"/>
  <c r="M64" i="9" s="1"/>
  <c r="K59" i="9"/>
  <c r="K64" i="9" s="1"/>
  <c r="I59" i="9"/>
  <c r="I64" i="9" s="1"/>
  <c r="G59" i="9"/>
  <c r="G64" i="9" s="1"/>
  <c r="Q52" i="9"/>
  <c r="K52" i="9"/>
  <c r="Q47" i="9"/>
  <c r="K47" i="9"/>
  <c r="Q33" i="9"/>
  <c r="Q38" i="9" s="1"/>
  <c r="O33" i="9"/>
  <c r="M33" i="9"/>
  <c r="M38" i="9" s="1"/>
  <c r="K33" i="9"/>
  <c r="I33" i="9"/>
  <c r="I38" i="9" s="1"/>
  <c r="G33" i="9"/>
  <c r="Q20" i="9"/>
  <c r="Q25" i="9" s="1"/>
  <c r="O20" i="9"/>
  <c r="O25" i="9" s="1"/>
  <c r="M20" i="9"/>
  <c r="M25" i="9" s="1"/>
  <c r="K20" i="9"/>
  <c r="K25" i="9" s="1"/>
  <c r="I20" i="9"/>
  <c r="I25" i="9" s="1"/>
  <c r="G20" i="9"/>
  <c r="G25" i="9" s="1"/>
  <c r="G14" i="9"/>
  <c r="Q5" i="9"/>
  <c r="Q10" i="9" s="1"/>
  <c r="O5" i="9"/>
  <c r="O10" i="9" s="1"/>
  <c r="M5" i="9"/>
  <c r="M10" i="9" s="1"/>
  <c r="K5" i="9"/>
  <c r="K10" i="9" s="1"/>
  <c r="I5" i="9"/>
  <c r="I10" i="9" s="1"/>
  <c r="G5" i="9"/>
  <c r="G10" i="9" s="1"/>
  <c r="E97" i="9" l="1"/>
  <c r="G34" i="9"/>
  <c r="G38" i="9"/>
  <c r="K39" i="9"/>
  <c r="K38" i="9"/>
  <c r="O34" i="9"/>
  <c r="O38" i="9"/>
  <c r="E99" i="9"/>
  <c r="E102" i="9"/>
  <c r="E104" i="9" s="1"/>
  <c r="E106" i="9" s="1"/>
  <c r="Q39" i="9"/>
  <c r="M39" i="9"/>
  <c r="I39" i="9"/>
  <c r="O39" i="9"/>
  <c r="I6" i="9"/>
  <c r="M6" i="9"/>
  <c r="Q6" i="9"/>
  <c r="Q7" i="9" s="1"/>
  <c r="G11" i="9"/>
  <c r="K11" i="9"/>
  <c r="O11" i="9"/>
  <c r="G21" i="9"/>
  <c r="K21" i="9"/>
  <c r="O21" i="9"/>
  <c r="K22" i="9"/>
  <c r="I26" i="9"/>
  <c r="M26" i="9"/>
  <c r="Q26" i="9"/>
  <c r="K34" i="9"/>
  <c r="K35" i="9" s="1"/>
  <c r="G6" i="9"/>
  <c r="G8" i="9" s="1"/>
  <c r="K6" i="9"/>
  <c r="O6" i="9"/>
  <c r="O8" i="9" s="1"/>
  <c r="K7" i="9"/>
  <c r="I8" i="9"/>
  <c r="M8" i="9"/>
  <c r="Q8" i="9"/>
  <c r="I9" i="9"/>
  <c r="M9" i="9"/>
  <c r="Q9" i="9"/>
  <c r="I11" i="9"/>
  <c r="M11" i="9"/>
  <c r="Q11" i="9"/>
  <c r="I21" i="9"/>
  <c r="M21" i="9"/>
  <c r="M24" i="9" s="1"/>
  <c r="Q21" i="9"/>
  <c r="Q22" i="9" s="1"/>
  <c r="G23" i="9"/>
  <c r="K23" i="9"/>
  <c r="O23" i="9"/>
  <c r="G24" i="9"/>
  <c r="K24" i="9"/>
  <c r="O24" i="9"/>
  <c r="G26" i="9"/>
  <c r="K26" i="9"/>
  <c r="O26" i="9"/>
  <c r="G39" i="9"/>
  <c r="G37" i="9"/>
  <c r="G36" i="9"/>
  <c r="G41" i="9" s="1"/>
  <c r="K37" i="9"/>
  <c r="K36" i="9"/>
  <c r="O37" i="9"/>
  <c r="O36" i="9"/>
  <c r="O40" i="9" s="1"/>
  <c r="I34" i="9"/>
  <c r="M34" i="9"/>
  <c r="Q34" i="9"/>
  <c r="Q48" i="9"/>
  <c r="Q49" i="9"/>
  <c r="Q50" i="9"/>
  <c r="I60" i="9"/>
  <c r="I67" i="9" s="1"/>
  <c r="M60" i="9"/>
  <c r="Q60" i="9"/>
  <c r="G65" i="9"/>
  <c r="K65" i="9"/>
  <c r="O65" i="9"/>
  <c r="K48" i="9"/>
  <c r="K49" i="9"/>
  <c r="K50" i="9"/>
  <c r="G60" i="9"/>
  <c r="K60" i="9"/>
  <c r="K63" i="9" s="1"/>
  <c r="O60" i="9"/>
  <c r="K61" i="9"/>
  <c r="I62" i="9"/>
  <c r="M62" i="9"/>
  <c r="Q62" i="9"/>
  <c r="I63" i="9"/>
  <c r="M63" i="9"/>
  <c r="Q63" i="9"/>
  <c r="I65" i="9"/>
  <c r="M65" i="9"/>
  <c r="Q65" i="9"/>
  <c r="K73" i="9"/>
  <c r="I74" i="9"/>
  <c r="M74" i="9"/>
  <c r="Q74" i="9"/>
  <c r="G75" i="9"/>
  <c r="K75" i="9"/>
  <c r="O75" i="9"/>
  <c r="K76" i="9"/>
  <c r="K78" i="9" s="1"/>
  <c r="O76" i="9"/>
  <c r="O78" i="9"/>
  <c r="I86" i="9"/>
  <c r="M86" i="9"/>
  <c r="Q86" i="9"/>
  <c r="G87" i="9"/>
  <c r="K87" i="9"/>
  <c r="O87" i="9"/>
  <c r="Q73" i="9"/>
  <c r="G74" i="9"/>
  <c r="I75" i="9"/>
  <c r="M75" i="9"/>
  <c r="Q75" i="9"/>
  <c r="G76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1" i="9"/>
  <c r="I81" i="9"/>
  <c r="M81" i="9"/>
  <c r="Q81" i="9"/>
  <c r="G86" i="9"/>
  <c r="K86" i="9"/>
  <c r="O86" i="9"/>
  <c r="O88" i="9" s="1"/>
  <c r="O90" i="9" s="1"/>
  <c r="I87" i="9"/>
  <c r="M87" i="9"/>
  <c r="M88" i="9" s="1"/>
  <c r="Q87" i="9"/>
  <c r="G88" i="9"/>
  <c r="G90" i="9" s="1"/>
  <c r="I89" i="9"/>
  <c r="Q89" i="9"/>
  <c r="G96" i="7"/>
  <c r="I96" i="7"/>
  <c r="K96" i="7"/>
  <c r="M96" i="7"/>
  <c r="O96" i="7"/>
  <c r="Q96" i="7"/>
  <c r="Q90" i="7"/>
  <c r="Q91" i="7" s="1"/>
  <c r="O90" i="7"/>
  <c r="O91" i="7" s="1"/>
  <c r="M90" i="7"/>
  <c r="M91" i="7" s="1"/>
  <c r="K90" i="7"/>
  <c r="K91" i="7" s="1"/>
  <c r="I90" i="7"/>
  <c r="I91" i="7" s="1"/>
  <c r="G90" i="7"/>
  <c r="G91" i="7" s="1"/>
  <c r="E90" i="7"/>
  <c r="E96" i="7"/>
  <c r="G85" i="7"/>
  <c r="I85" i="7"/>
  <c r="K85" i="7"/>
  <c r="M85" i="7"/>
  <c r="O85" i="7"/>
  <c r="Q85" i="7"/>
  <c r="E85" i="7"/>
  <c r="H81" i="7"/>
  <c r="H83" i="7" s="1"/>
  <c r="Q77" i="7"/>
  <c r="Q81" i="7" s="1"/>
  <c r="O77" i="7"/>
  <c r="O81" i="7" s="1"/>
  <c r="M77" i="7"/>
  <c r="M81" i="7" s="1"/>
  <c r="K77" i="7"/>
  <c r="K81" i="7" s="1"/>
  <c r="I77" i="7"/>
  <c r="I81" i="7" s="1"/>
  <c r="G77" i="7"/>
  <c r="H85" i="7" s="1"/>
  <c r="E77" i="7"/>
  <c r="E63" i="7"/>
  <c r="Q53" i="9" l="1"/>
  <c r="Q66" i="9"/>
  <c r="M66" i="9"/>
  <c r="M70" i="9" s="1"/>
  <c r="M71" i="9" s="1"/>
  <c r="M67" i="9"/>
  <c r="M68" i="9"/>
  <c r="I66" i="9"/>
  <c r="I68" i="9" s="1"/>
  <c r="K54" i="9"/>
  <c r="Q54" i="9"/>
  <c r="Q55" i="9" s="1"/>
  <c r="K53" i="9"/>
  <c r="O28" i="9"/>
  <c r="K41" i="9"/>
  <c r="G40" i="9"/>
  <c r="K40" i="9"/>
  <c r="Q35" i="9"/>
  <c r="O41" i="9"/>
  <c r="G42" i="9"/>
  <c r="G44" i="9" s="1"/>
  <c r="G45" i="9" s="1"/>
  <c r="K42" i="9"/>
  <c r="K44" i="9" s="1"/>
  <c r="K45" i="9" s="1"/>
  <c r="M13" i="9"/>
  <c r="K27" i="9"/>
  <c r="K28" i="9"/>
  <c r="I12" i="9"/>
  <c r="G27" i="9"/>
  <c r="O27" i="9"/>
  <c r="G28" i="9"/>
  <c r="I13" i="9"/>
  <c r="I15" i="9" s="1"/>
  <c r="Q13" i="9"/>
  <c r="M12" i="9"/>
  <c r="M15" i="9" s="1"/>
  <c r="M17" i="9" s="1"/>
  <c r="M18" i="9" s="1"/>
  <c r="Q12" i="9"/>
  <c r="Q15" i="9" s="1"/>
  <c r="K77" i="9"/>
  <c r="Q83" i="9"/>
  <c r="Q84" i="9" s="1"/>
  <c r="K79" i="9"/>
  <c r="O77" i="9"/>
  <c r="M83" i="9"/>
  <c r="M84" i="9" s="1"/>
  <c r="G83" i="9"/>
  <c r="G84" i="9" s="1"/>
  <c r="K81" i="9"/>
  <c r="K83" i="9" s="1"/>
  <c r="K84" i="9" s="1"/>
  <c r="I83" i="9"/>
  <c r="I84" i="9" s="1"/>
  <c r="M90" i="9"/>
  <c r="M89" i="9"/>
  <c r="K88" i="9"/>
  <c r="K90" i="9" s="1"/>
  <c r="K89" i="9"/>
  <c r="Q88" i="9"/>
  <c r="I88" i="9"/>
  <c r="O79" i="9"/>
  <c r="O81" i="9" s="1"/>
  <c r="O83" i="9" s="1"/>
  <c r="O84" i="9" s="1"/>
  <c r="K92" i="9"/>
  <c r="O63" i="9"/>
  <c r="G63" i="9"/>
  <c r="K62" i="9"/>
  <c r="K67" i="9" s="1"/>
  <c r="Q61" i="9"/>
  <c r="Q37" i="9"/>
  <c r="M36" i="9"/>
  <c r="I37" i="9"/>
  <c r="Q24" i="9"/>
  <c r="I24" i="9"/>
  <c r="M23" i="9"/>
  <c r="M27" i="9" s="1"/>
  <c r="O9" i="9"/>
  <c r="O13" i="9" s="1"/>
  <c r="G9" i="9"/>
  <c r="G12" i="9" s="1"/>
  <c r="K8" i="9"/>
  <c r="O89" i="9"/>
  <c r="O92" i="9" s="1"/>
  <c r="G89" i="9"/>
  <c r="G92" i="9" s="1"/>
  <c r="O62" i="9"/>
  <c r="O66" i="9" s="1"/>
  <c r="G62" i="9"/>
  <c r="G67" i="9" s="1"/>
  <c r="Q36" i="9"/>
  <c r="Q40" i="9" s="1"/>
  <c r="M37" i="9"/>
  <c r="I36" i="9"/>
  <c r="Q23" i="9"/>
  <c r="I23" i="9"/>
  <c r="K9" i="9"/>
  <c r="O92" i="7"/>
  <c r="O93" i="7" s="1"/>
  <c r="K92" i="7"/>
  <c r="K94" i="7" s="1"/>
  <c r="G92" i="7"/>
  <c r="G93" i="7" s="1"/>
  <c r="Q92" i="7"/>
  <c r="Q94" i="7" s="1"/>
  <c r="M92" i="7"/>
  <c r="M93" i="7" s="1"/>
  <c r="I92" i="7"/>
  <c r="I94" i="7" s="1"/>
  <c r="G81" i="7"/>
  <c r="E70" i="7"/>
  <c r="E81" i="7"/>
  <c r="E91" i="7"/>
  <c r="E92" i="7"/>
  <c r="H82" i="7"/>
  <c r="K56" i="7"/>
  <c r="Q35" i="7"/>
  <c r="Q42" i="7" s="1"/>
  <c r="O35" i="7"/>
  <c r="O42" i="7" s="1"/>
  <c r="M35" i="7"/>
  <c r="M42" i="7" s="1"/>
  <c r="K35" i="7"/>
  <c r="K42" i="7" s="1"/>
  <c r="I35" i="7"/>
  <c r="I42" i="7" s="1"/>
  <c r="G35" i="7"/>
  <c r="G42" i="7" s="1"/>
  <c r="E35" i="7"/>
  <c r="Q21" i="7"/>
  <c r="O21" i="7"/>
  <c r="M21" i="7"/>
  <c r="K21" i="7"/>
  <c r="I21" i="7"/>
  <c r="G21" i="7"/>
  <c r="E21" i="7"/>
  <c r="Q15" i="7"/>
  <c r="M15" i="7"/>
  <c r="K15" i="7"/>
  <c r="G15" i="7"/>
  <c r="I15" i="7"/>
  <c r="O15" i="7"/>
  <c r="K68" i="9" l="1"/>
  <c r="K66" i="9"/>
  <c r="I70" i="9"/>
  <c r="I71" i="9" s="1"/>
  <c r="O67" i="9"/>
  <c r="G66" i="9"/>
  <c r="G68" i="9" s="1"/>
  <c r="Q67" i="9"/>
  <c r="Q70" i="9" s="1"/>
  <c r="G70" i="9"/>
  <c r="K70" i="9"/>
  <c r="Q57" i="9"/>
  <c r="O68" i="9"/>
  <c r="O70" i="9" s="1"/>
  <c r="O71" i="9" s="1"/>
  <c r="Q68" i="9"/>
  <c r="Q58" i="9"/>
  <c r="K55" i="9"/>
  <c r="K57" i="9" s="1"/>
  <c r="K58" i="9" s="1"/>
  <c r="M41" i="9"/>
  <c r="G29" i="9"/>
  <c r="G31" i="9" s="1"/>
  <c r="G32" i="9" s="1"/>
  <c r="O42" i="9"/>
  <c r="O44" i="9" s="1"/>
  <c r="O45" i="9" s="1"/>
  <c r="I41" i="9"/>
  <c r="K29" i="9"/>
  <c r="K31" i="9" s="1"/>
  <c r="K32" i="9" s="1"/>
  <c r="I40" i="9"/>
  <c r="I42" i="9" s="1"/>
  <c r="Q41" i="9"/>
  <c r="M40" i="9"/>
  <c r="M42" i="9" s="1"/>
  <c r="I17" i="9"/>
  <c r="I18" i="9" s="1"/>
  <c r="M28" i="9"/>
  <c r="M29" i="9" s="1"/>
  <c r="Q27" i="9"/>
  <c r="Q28" i="9"/>
  <c r="K13" i="9"/>
  <c r="I27" i="9"/>
  <c r="O29" i="9"/>
  <c r="O31" i="9" s="1"/>
  <c r="O32" i="9" s="1"/>
  <c r="I28" i="9"/>
  <c r="G13" i="9"/>
  <c r="G15" i="9" s="1"/>
  <c r="G17" i="9" s="1"/>
  <c r="Q17" i="9"/>
  <c r="Q18" i="9" s="1"/>
  <c r="O12" i="9"/>
  <c r="K12" i="9"/>
  <c r="K15" i="9" s="1"/>
  <c r="K71" i="9"/>
  <c r="Q90" i="9"/>
  <c r="Q92" i="9" s="1"/>
  <c r="Q94" i="9" s="1"/>
  <c r="Q95" i="9" s="1"/>
  <c r="G94" i="9"/>
  <c r="G95" i="9" s="1"/>
  <c r="K94" i="9"/>
  <c r="K95" i="9" s="1"/>
  <c r="M92" i="9"/>
  <c r="M94" i="9" s="1"/>
  <c r="M95" i="9" s="1"/>
  <c r="I90" i="9"/>
  <c r="I92" i="9" s="1"/>
  <c r="I94" i="9" s="1"/>
  <c r="I95" i="9" s="1"/>
  <c r="O94" i="9"/>
  <c r="O95" i="9" s="1"/>
  <c r="M95" i="7"/>
  <c r="G95" i="7"/>
  <c r="O95" i="7"/>
  <c r="I93" i="7"/>
  <c r="Q93" i="7"/>
  <c r="M94" i="7"/>
  <c r="K93" i="7"/>
  <c r="G94" i="7"/>
  <c r="O94" i="7"/>
  <c r="E93" i="7"/>
  <c r="E97" i="7" s="1"/>
  <c r="E94" i="7"/>
  <c r="E95" i="7"/>
  <c r="H84" i="7"/>
  <c r="H86" i="7" s="1"/>
  <c r="H88" i="7" s="1"/>
  <c r="E42" i="7"/>
  <c r="Q28" i="7"/>
  <c r="M28" i="7"/>
  <c r="I28" i="7"/>
  <c r="E28" i="7"/>
  <c r="O28" i="7"/>
  <c r="K28" i="7"/>
  <c r="G28" i="7"/>
  <c r="E15" i="7"/>
  <c r="Q5" i="7"/>
  <c r="O5" i="7"/>
  <c r="M5" i="7"/>
  <c r="K5" i="7"/>
  <c r="I5" i="7"/>
  <c r="G5" i="7"/>
  <c r="E5" i="7"/>
  <c r="E12" i="7" s="1"/>
  <c r="M44" i="9" l="1"/>
  <c r="M45" i="9" s="1"/>
  <c r="Q42" i="9"/>
  <c r="Q44" i="9" s="1"/>
  <c r="Q45" i="9" s="1"/>
  <c r="I29" i="9"/>
  <c r="Q29" i="9"/>
  <c r="Q31" i="9" s="1"/>
  <c r="Q32" i="9" s="1"/>
  <c r="Q101" i="9" s="1"/>
  <c r="M31" i="9"/>
  <c r="M32" i="9" s="1"/>
  <c r="M101" i="9" s="1"/>
  <c r="I44" i="9"/>
  <c r="I45" i="9" s="1"/>
  <c r="I31" i="9"/>
  <c r="I32" i="9" s="1"/>
  <c r="I101" i="9" s="1"/>
  <c r="K17" i="9"/>
  <c r="K18" i="9" s="1"/>
  <c r="K101" i="9" s="1"/>
  <c r="O15" i="9"/>
  <c r="O17" i="9" s="1"/>
  <c r="O18" i="9" s="1"/>
  <c r="O101" i="9" s="1"/>
  <c r="Q71" i="9"/>
  <c r="G71" i="9"/>
  <c r="M97" i="9"/>
  <c r="K99" i="9"/>
  <c r="K97" i="9"/>
  <c r="M99" i="9"/>
  <c r="G18" i="9"/>
  <c r="G101" i="9" s="1"/>
  <c r="K95" i="7"/>
  <c r="K97" i="7" s="1"/>
  <c r="K99" i="7" s="1"/>
  <c r="K100" i="7" s="1"/>
  <c r="Q95" i="7"/>
  <c r="Q97" i="7" s="1"/>
  <c r="Q99" i="7" s="1"/>
  <c r="Q100" i="7" s="1"/>
  <c r="O97" i="7"/>
  <c r="O99" i="7" s="1"/>
  <c r="O100" i="7" s="1"/>
  <c r="M97" i="7"/>
  <c r="M99" i="7" s="1"/>
  <c r="M100" i="7" s="1"/>
  <c r="E99" i="7"/>
  <c r="I95" i="7"/>
  <c r="I97" i="7" s="1"/>
  <c r="I99" i="7" s="1"/>
  <c r="I100" i="7" s="1"/>
  <c r="G97" i="7"/>
  <c r="G99" i="7" s="1"/>
  <c r="G100" i="7" s="1"/>
  <c r="E100" i="7"/>
  <c r="I12" i="7"/>
  <c r="M12" i="7"/>
  <c r="Q12" i="7"/>
  <c r="G12" i="7"/>
  <c r="K12" i="7"/>
  <c r="O12" i="7"/>
  <c r="M102" i="9" l="1"/>
  <c r="M104" i="9" s="1"/>
  <c r="M106" i="9" s="1"/>
  <c r="Q99" i="9"/>
  <c r="Q97" i="9"/>
  <c r="K102" i="9"/>
  <c r="K104" i="9" s="1"/>
  <c r="K106" i="9" s="1"/>
  <c r="O99" i="9"/>
  <c r="O97" i="9"/>
  <c r="G99" i="9"/>
  <c r="G97" i="9"/>
  <c r="I97" i="9"/>
  <c r="I99" i="9"/>
  <c r="Q55" i="7"/>
  <c r="Q102" i="9" l="1"/>
  <c r="Q104" i="9" s="1"/>
  <c r="Q106" i="9" s="1"/>
  <c r="O102" i="9"/>
  <c r="O104" i="9" s="1"/>
  <c r="O106" i="9" s="1"/>
  <c r="I102" i="9"/>
  <c r="I104" i="9" s="1"/>
  <c r="I106" i="9" s="1"/>
  <c r="G102" i="9"/>
  <c r="G104" i="9" s="1"/>
  <c r="G106" i="9" s="1"/>
  <c r="Q53" i="7"/>
  <c r="K53" i="7"/>
  <c r="Q50" i="7" l="1"/>
  <c r="K50" i="7"/>
  <c r="Q54" i="7" l="1"/>
  <c r="K54" i="7"/>
  <c r="K52" i="7"/>
  <c r="K51" i="7"/>
  <c r="Q51" i="7"/>
  <c r="Q52" i="7"/>
  <c r="Q63" i="7"/>
  <c r="O63" i="7"/>
  <c r="M63" i="7"/>
  <c r="K63" i="7"/>
  <c r="I63" i="7"/>
  <c r="G63" i="7"/>
  <c r="Q58" i="7" l="1"/>
  <c r="G70" i="7"/>
  <c r="K70" i="7"/>
  <c r="O70" i="7"/>
  <c r="K57" i="7"/>
  <c r="Q57" i="7"/>
  <c r="Q59" i="7" s="1"/>
  <c r="Q61" i="7" s="1"/>
  <c r="I70" i="7"/>
  <c r="M70" i="7"/>
  <c r="Q70" i="7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I22" i="7"/>
  <c r="E24" i="7"/>
  <c r="I24" i="7"/>
  <c r="E36" i="7"/>
  <c r="I36" i="7"/>
  <c r="E38" i="7"/>
  <c r="G64" i="7"/>
  <c r="K64" i="7"/>
  <c r="K65" i="7" s="1"/>
  <c r="G66" i="7"/>
  <c r="G79" i="7"/>
  <c r="K79" i="7"/>
  <c r="G6" i="7"/>
  <c r="K6" i="7"/>
  <c r="K8" i="7" s="1"/>
  <c r="G22" i="7"/>
  <c r="K22" i="7"/>
  <c r="G24" i="7"/>
  <c r="G36" i="7"/>
  <c r="K36" i="7"/>
  <c r="E64" i="7"/>
  <c r="I64" i="7"/>
  <c r="E66" i="7"/>
  <c r="I66" i="7"/>
  <c r="E79" i="7"/>
  <c r="I79" i="7"/>
  <c r="I82" i="7" l="1"/>
  <c r="I84" i="7" s="1"/>
  <c r="I83" i="7"/>
  <c r="E83" i="7"/>
  <c r="E82" i="7"/>
  <c r="G82" i="7"/>
  <c r="G84" i="7" s="1"/>
  <c r="G83" i="7"/>
  <c r="O83" i="7"/>
  <c r="O82" i="7"/>
  <c r="O84" i="7" s="1"/>
  <c r="K83" i="7"/>
  <c r="K82" i="7"/>
  <c r="K84" i="7" s="1"/>
  <c r="K86" i="7" s="1"/>
  <c r="K88" i="7" s="1"/>
  <c r="K59" i="7"/>
  <c r="K61" i="7" s="1"/>
  <c r="K62" i="7" s="1"/>
  <c r="M82" i="7"/>
  <c r="M84" i="7" s="1"/>
  <c r="M83" i="7"/>
  <c r="Q82" i="7"/>
  <c r="Q84" i="7" s="1"/>
  <c r="Q83" i="7"/>
  <c r="G38" i="7"/>
  <c r="K38" i="7"/>
  <c r="I38" i="7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I44" i="7" s="1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38" i="7"/>
  <c r="Q23" i="7"/>
  <c r="K66" i="7"/>
  <c r="K37" i="7"/>
  <c r="K43" i="7" s="1"/>
  <c r="K23" i="7"/>
  <c r="K24" i="7"/>
  <c r="Q62" i="7"/>
  <c r="Q7" i="7"/>
  <c r="Q13" i="7" s="1"/>
  <c r="Q65" i="7"/>
  <c r="K7" i="7"/>
  <c r="O38" i="7"/>
  <c r="O24" i="7"/>
  <c r="O29" i="7" s="1"/>
  <c r="M38" i="7"/>
  <c r="M24" i="7"/>
  <c r="M30" i="7" s="1"/>
  <c r="O86" i="7" l="1"/>
  <c r="O88" i="7" s="1"/>
  <c r="E84" i="7"/>
  <c r="E86" i="7" s="1"/>
  <c r="E88" i="7" s="1"/>
  <c r="M44" i="7"/>
  <c r="O44" i="7"/>
  <c r="Q72" i="7"/>
  <c r="Q73" i="7" s="1"/>
  <c r="K71" i="7"/>
  <c r="G44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4" i="7"/>
  <c r="K45" i="7" s="1"/>
  <c r="K47" i="7" s="1"/>
  <c r="Q44" i="7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2" i="7" l="1"/>
  <c r="G104" i="7"/>
  <c r="G107" i="7"/>
  <c r="G109" i="7" s="1"/>
  <c r="K89" i="7"/>
  <c r="K48" i="7"/>
  <c r="O19" i="7"/>
  <c r="I76" i="7"/>
  <c r="E19" i="7"/>
  <c r="M48" i="7"/>
  <c r="Q34" i="7"/>
  <c r="O48" i="7"/>
  <c r="M34" i="7"/>
  <c r="E102" i="7" l="1"/>
  <c r="E104" i="7"/>
  <c r="O102" i="7"/>
  <c r="O104" i="7"/>
  <c r="M102" i="7"/>
  <c r="I102" i="7"/>
  <c r="K102" i="7"/>
  <c r="K104" i="7"/>
  <c r="M104" i="7"/>
  <c r="I104" i="7"/>
  <c r="Q19" i="7"/>
  <c r="O107" i="7" l="1"/>
  <c r="O109" i="7" s="1"/>
  <c r="K107" i="7"/>
  <c r="K109" i="7" s="1"/>
  <c r="I107" i="7"/>
  <c r="I109" i="7" s="1"/>
  <c r="M107" i="7"/>
  <c r="M109" i="7" s="1"/>
  <c r="E107" i="7"/>
  <c r="E109" i="7" s="1"/>
  <c r="Q102" i="7"/>
  <c r="Q104" i="7"/>
  <c r="Q107" i="7" l="1"/>
  <c r="Q109" i="7" s="1"/>
</calcChain>
</file>

<file path=xl/sharedStrings.xml><?xml version="1.0" encoding="utf-8"?>
<sst xmlns="http://schemas.openxmlformats.org/spreadsheetml/2006/main" count="271" uniqueCount="69">
  <si>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</si>
  <si>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</si>
  <si>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</si>
  <si>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</si>
  <si>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</si>
  <si>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</si>
  <si>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</si>
  <si>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</si>
  <si>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</si>
  <si>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</si>
  <si>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12 часов-1 дошкольная логопедическая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</si>
  <si>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</si>
  <si>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</si>
  <si>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</si>
  <si>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</si>
  <si>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</si>
  <si>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</si>
  <si>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</si>
  <si>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</si>
  <si>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Реализация основных общеобразовательных и адаптированных образовательных  программ дошкольного образования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</si>
  <si>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</si>
  <si>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</si>
  <si>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</si>
  <si>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</si>
  <si>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</si>
  <si>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</si>
  <si>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</si>
  <si>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</si>
  <si>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</si>
  <si>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10 часов-1 дошкольная логопедическая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</si>
  <si>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</si>
  <si>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</si>
  <si>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</si>
  <si>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</si>
  <si>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</si>
  <si>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</si>
  <si>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</si>
  <si>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</si>
  <si>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</si>
  <si>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</si>
  <si>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</si>
  <si>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</si>
  <si>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</si>
  <si>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</si>
  <si>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</si>
  <si>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</si>
  <si>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</si>
  <si>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</si>
  <si>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</si>
  <si>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</si>
  <si>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</si>
  <si>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</si>
  <si>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</si>
  <si>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</si>
  <si>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</si>
  <si>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</si>
  <si>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</si>
  <si>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</si>
  <si>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</si>
  <si>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</si>
  <si>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</si>
  <si>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</si>
  <si>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</si>
  <si>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</si>
  <si>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</si>
  <si>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</si>
  <si>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дошкольных образовательных организаций и специфику работы</t>
  </si>
  <si>
    <t>Отраслевые  корректирующие коэффициенты затрат на оплату трда, непосредственно связанных с оказанием муниципальной услуги, учитывающие режим работы дошкольных образовательных организаций и специфику работы</t>
  </si>
  <si>
    <t>Приложение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</si>
</sst>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view="pageBreakPreview" zoomScale="64" zoomScaleNormal="81" zoomScaleSheetLayoutView="64" workbookViewId="0">
      <pane xSplit="3" ySplit="4" topLeftCell="D68" activePane="bottomRight" state="frozen"/>
      <selection pane="topRight" activeCell="D1" sqref="D1"/>
      <selection pane="bottomLeft" activeCell="A5" sqref="A5"/>
      <selection pane="bottomRight" activeCell="A2" sqref="A2:A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46.5" customHeight="1" x14ac:dyDescent="0.25">
      <c r="A2" s="59" t="s">
        <v>2</v>
      </c>
      <c r="B2" s="59" t="s">
        <v>0</v>
      </c>
      <c r="C2" s="59" t="s">
        <v>1</v>
      </c>
      <c r="D2" s="51" t="s">
        <v>19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2"/>
    </row>
    <row r="3" spans="1:17" s="2" customFormat="1" ht="51" customHeight="1" x14ac:dyDescent="0.25">
      <c r="A3" s="60"/>
      <c r="B3" s="60"/>
      <c r="C3" s="60"/>
      <c r="D3" s="53" t="s">
        <v>30</v>
      </c>
      <c r="E3" s="53"/>
      <c r="F3" s="53" t="s">
        <v>28</v>
      </c>
      <c r="G3" s="53"/>
      <c r="H3" s="51" t="s">
        <v>21</v>
      </c>
      <c r="I3" s="52"/>
      <c r="J3" s="51" t="s">
        <v>29</v>
      </c>
      <c r="K3" s="52"/>
      <c r="L3" s="53" t="s">
        <v>8</v>
      </c>
      <c r="M3" s="53"/>
      <c r="N3" s="49" t="s">
        <v>9</v>
      </c>
      <c r="O3" s="50"/>
      <c r="P3" s="51" t="s">
        <v>10</v>
      </c>
      <c r="Q3" s="52"/>
    </row>
    <row r="4" spans="1:17" ht="48.75" customHeight="1" x14ac:dyDescent="0.25">
      <c r="A4" s="9"/>
      <c r="B4" s="9"/>
      <c r="C4" s="9"/>
      <c r="D4" s="9" t="s">
        <v>5</v>
      </c>
      <c r="E4" s="8" t="s">
        <v>6</v>
      </c>
      <c r="F4" s="10"/>
      <c r="G4" s="10"/>
      <c r="H4" s="9" t="s">
        <v>5</v>
      </c>
      <c r="I4" s="8" t="s">
        <v>6</v>
      </c>
      <c r="J4" s="10"/>
      <c r="K4" s="10"/>
      <c r="L4" s="9" t="s">
        <v>5</v>
      </c>
      <c r="M4" s="15" t="s">
        <v>6</v>
      </c>
      <c r="N4" s="14" t="s">
        <v>5</v>
      </c>
      <c r="O4" s="15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.75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48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60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51.75" customHeight="1" x14ac:dyDescent="0.25">
      <c r="A9" s="4"/>
      <c r="B9" s="4"/>
      <c r="C9" s="6" t="s">
        <v>59</v>
      </c>
      <c r="D9" s="3"/>
      <c r="E9" s="7">
        <f t="shared" ref="E9" si="0">ROUND(E5*0.25,2)</f>
        <v>2567.5</v>
      </c>
      <c r="F9" s="7"/>
      <c r="G9" s="7">
        <f t="shared" ref="G9" si="1">ROUND(G5*0.25,2)</f>
        <v>2855.06</v>
      </c>
      <c r="H9" s="7"/>
      <c r="I9" s="7">
        <f>ROUND(I5*0.25,2)</f>
        <v>2855.06</v>
      </c>
      <c r="J9" s="7"/>
      <c r="K9" s="7">
        <f t="shared" ref="K9:O9" si="2">ROUND(K5*0.25,2)</f>
        <v>4108</v>
      </c>
      <c r="L9" s="7"/>
      <c r="M9" s="16">
        <f t="shared" si="2"/>
        <v>4108</v>
      </c>
      <c r="N9" s="16"/>
      <c r="O9" s="16">
        <f t="shared" si="2"/>
        <v>4108</v>
      </c>
      <c r="P9" s="7"/>
      <c r="Q9" s="7">
        <f t="shared" ref="Q9" si="3">ROUND(Q5*0.25,2)</f>
        <v>4929.6000000000004</v>
      </c>
    </row>
    <row r="10" spans="1:17" ht="46.5" customHeight="1" x14ac:dyDescent="0.25">
      <c r="A10" s="4"/>
      <c r="B10" s="4"/>
      <c r="C10" s="6" t="s">
        <v>12</v>
      </c>
      <c r="D10" s="4"/>
      <c r="E10" s="7">
        <f>ROUND((E5+E6)*0.05,2)</f>
        <v>667.55</v>
      </c>
      <c r="F10" s="7"/>
      <c r="G10" s="7">
        <f t="shared" ref="G10:Q10" si="4">ROUND((G5+G6)*0.05,2)</f>
        <v>742.32</v>
      </c>
      <c r="H10" s="7"/>
      <c r="I10" s="7">
        <f t="shared" si="4"/>
        <v>742.32</v>
      </c>
      <c r="J10" s="7"/>
      <c r="K10" s="7">
        <f t="shared" si="4"/>
        <v>1068.08</v>
      </c>
      <c r="L10" s="7"/>
      <c r="M10" s="7">
        <f t="shared" si="4"/>
        <v>1068.08</v>
      </c>
      <c r="N10" s="7"/>
      <c r="O10" s="7">
        <f t="shared" si="4"/>
        <v>1068.08</v>
      </c>
      <c r="P10" s="7"/>
      <c r="Q10" s="7">
        <f t="shared" si="4"/>
        <v>1281.7</v>
      </c>
    </row>
    <row r="11" spans="1:17" ht="61.5" customHeight="1" x14ac:dyDescent="0.25">
      <c r="A11" s="4"/>
      <c r="B11" s="4"/>
      <c r="C11" s="6" t="s">
        <v>49</v>
      </c>
      <c r="D11" s="4"/>
      <c r="E11" s="7">
        <f>ROUND(E5*0.4,2)</f>
        <v>4108</v>
      </c>
      <c r="F11" s="7"/>
      <c r="G11" s="7">
        <f t="shared" ref="G11:Q11" si="5">ROUND(G5*0.4,2)</f>
        <v>4568.1000000000004</v>
      </c>
      <c r="H11" s="7"/>
      <c r="I11" s="7">
        <f t="shared" si="5"/>
        <v>4568.1000000000004</v>
      </c>
      <c r="J11" s="7"/>
      <c r="K11" s="7">
        <f t="shared" si="5"/>
        <v>6572.8</v>
      </c>
      <c r="L11" s="7"/>
      <c r="M11" s="7">
        <f t="shared" si="5"/>
        <v>6572.8</v>
      </c>
      <c r="N11" s="7"/>
      <c r="O11" s="7">
        <f t="shared" si="5"/>
        <v>6572.8</v>
      </c>
      <c r="P11" s="7"/>
      <c r="Q11" s="7">
        <f t="shared" si="5"/>
        <v>7887.36</v>
      </c>
    </row>
    <row r="12" spans="1:17" ht="39.75" customHeight="1" x14ac:dyDescent="0.25">
      <c r="A12" s="4"/>
      <c r="B12" s="4"/>
      <c r="C12" s="6" t="s">
        <v>50</v>
      </c>
      <c r="D12" s="4"/>
      <c r="E12" s="7">
        <f>ROUND(E5*0.2,2)</f>
        <v>2054</v>
      </c>
      <c r="F12" s="7"/>
      <c r="G12" s="7">
        <f>ROUND(G5*0.2,2)</f>
        <v>2284.0500000000002</v>
      </c>
      <c r="H12" s="7"/>
      <c r="I12" s="7">
        <f>ROUND(I5*0.2,2)</f>
        <v>2284.0500000000002</v>
      </c>
      <c r="J12" s="7"/>
      <c r="K12" s="7">
        <f>ROUND(K5*0.2,2)</f>
        <v>3286.4</v>
      </c>
      <c r="L12" s="7"/>
      <c r="M12" s="7">
        <f>ROUND(M5*0.2,2)</f>
        <v>3286.4</v>
      </c>
      <c r="N12" s="7"/>
      <c r="O12" s="7">
        <f>ROUND(O5*0.2,2)</f>
        <v>3286.4</v>
      </c>
      <c r="P12" s="7"/>
      <c r="Q12" s="7">
        <f>ROUND(Q5*0.2,2)</f>
        <v>3943.68</v>
      </c>
    </row>
    <row r="13" spans="1:17" ht="28.5" customHeight="1" x14ac:dyDescent="0.25">
      <c r="A13" s="4"/>
      <c r="B13" s="4"/>
      <c r="C13" s="4" t="s">
        <v>13</v>
      </c>
      <c r="D13" s="4"/>
      <c r="E13" s="7">
        <f>ROUND((E5+E6+E7+E8+E9+E10+E11+E12)*0.05,2)</f>
        <v>1337.67</v>
      </c>
      <c r="F13" s="7"/>
      <c r="G13" s="7">
        <f t="shared" ref="G13:Q13" si="6">ROUND((G5+G6+G7+G8+G9+G10+G11+G12)*0.05,2)</f>
        <v>1487.49</v>
      </c>
      <c r="H13" s="7"/>
      <c r="I13" s="7">
        <f t="shared" si="6"/>
        <v>1487.49</v>
      </c>
      <c r="J13" s="7"/>
      <c r="K13" s="7">
        <f>ROUND((K5+K6+K7+K8+K9+K10+K11+K12)*0.05,2)</f>
        <v>2353.88</v>
      </c>
      <c r="L13" s="7"/>
      <c r="M13" s="7">
        <f t="shared" si="6"/>
        <v>2140.27</v>
      </c>
      <c r="N13" s="7"/>
      <c r="O13" s="7">
        <f t="shared" si="6"/>
        <v>2140.27</v>
      </c>
      <c r="P13" s="7"/>
      <c r="Q13" s="7">
        <f t="shared" si="6"/>
        <v>2824.66</v>
      </c>
    </row>
    <row r="14" spans="1:17" ht="24.75" customHeight="1" x14ac:dyDescent="0.25">
      <c r="A14" s="4"/>
      <c r="B14" s="4"/>
      <c r="C14" s="4" t="s">
        <v>14</v>
      </c>
      <c r="D14" s="4"/>
      <c r="E14" s="3">
        <f>ROUND((E5+E6+E7+E8+E9+E10+E11+E12)*0.01,2)</f>
        <v>267.52999999999997</v>
      </c>
      <c r="F14" s="3"/>
      <c r="G14" s="3">
        <f t="shared" ref="G14:Q14" si="7">ROUND((G5+G6+G7+G8+G9+G10+G11+G12)*0.01,2)</f>
        <v>297.5</v>
      </c>
      <c r="H14" s="3"/>
      <c r="I14" s="3">
        <f t="shared" si="7"/>
        <v>297.5</v>
      </c>
      <c r="J14" s="3"/>
      <c r="K14" s="3">
        <f>ROUND((K5+K6+K7+K8+K9+K10+K11+K12)*0.01,2)</f>
        <v>470.78</v>
      </c>
      <c r="L14" s="3"/>
      <c r="M14" s="3">
        <f t="shared" si="7"/>
        <v>428.05</v>
      </c>
      <c r="N14" s="3"/>
      <c r="O14" s="3">
        <f t="shared" si="7"/>
        <v>428.05</v>
      </c>
      <c r="P14" s="3"/>
      <c r="Q14" s="3">
        <f t="shared" si="7"/>
        <v>564.92999999999995</v>
      </c>
    </row>
    <row r="15" spans="1:17" ht="24.75" customHeight="1" x14ac:dyDescent="0.25">
      <c r="A15" s="4"/>
      <c r="B15" s="4"/>
      <c r="C15" s="4" t="s">
        <v>36</v>
      </c>
      <c r="D15" s="4"/>
      <c r="E15" s="7">
        <f>ROUND(22165.64/29.3*42/12*D5,2)</f>
        <v>3309.72</v>
      </c>
      <c r="F15" s="7"/>
      <c r="G15" s="7">
        <f t="shared" ref="G15:O15" si="8">ROUND(22165.64/29.3*42/12*F5,2)</f>
        <v>3680.4</v>
      </c>
      <c r="H15" s="7"/>
      <c r="I15" s="7">
        <f t="shared" si="8"/>
        <v>3680.4</v>
      </c>
      <c r="J15" s="7"/>
      <c r="K15" s="7">
        <f>ROUND(22165.64/29.3*56/12*J5,2)</f>
        <v>7060.73</v>
      </c>
      <c r="L15" s="7"/>
      <c r="M15" s="7">
        <f>ROUND(22165.64/29.3*42/12*L5,2)</f>
        <v>5295.55</v>
      </c>
      <c r="N15" s="7"/>
      <c r="O15" s="7">
        <f t="shared" si="8"/>
        <v>5295.55</v>
      </c>
      <c r="P15" s="7"/>
      <c r="Q15" s="7">
        <f>ROUND(22165.64/29.3*56/12*P5,2)</f>
        <v>8472.8700000000008</v>
      </c>
    </row>
    <row r="16" spans="1:17" ht="39" customHeight="1" x14ac:dyDescent="0.25">
      <c r="A16" s="4"/>
      <c r="B16" s="4"/>
      <c r="C16" s="6" t="s">
        <v>15</v>
      </c>
      <c r="D16" s="4"/>
      <c r="E16" s="12">
        <f>ROUND((E5+E6+E7+E8+E9+E10+E11+E13+E14+E15+E12)*0.302,2)</f>
        <v>9563.82</v>
      </c>
      <c r="F16" s="12"/>
      <c r="G16" s="12">
        <f t="shared" ref="G16:Q16" si="9">ROUND((G5+G6+G7+G8+G9+G10+G11+G13+G14+G15+G12)*0.302,2)</f>
        <v>10634.97</v>
      </c>
      <c r="H16" s="12"/>
      <c r="I16" s="12">
        <f t="shared" si="9"/>
        <v>10634.97</v>
      </c>
      <c r="J16" s="12"/>
      <c r="K16" s="12">
        <f>ROUND((K5+K6+K7+K8+K9+K10+K11+K13+K14+K15+K12)*0.302,2)</f>
        <v>17202.849999999999</v>
      </c>
      <c r="L16" s="12"/>
      <c r="M16" s="12">
        <f t="shared" si="9"/>
        <v>15302.11</v>
      </c>
      <c r="N16" s="12"/>
      <c r="O16" s="12">
        <f t="shared" si="9"/>
        <v>15302.11</v>
      </c>
      <c r="P16" s="12"/>
      <c r="Q16" s="12">
        <f t="shared" si="9"/>
        <v>20643.419999999998</v>
      </c>
    </row>
    <row r="17" spans="1:17" ht="36" customHeight="1" x14ac:dyDescent="0.25">
      <c r="A17" s="4"/>
      <c r="B17" s="4"/>
      <c r="C17" s="6" t="s">
        <v>18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1" t="s">
        <v>16</v>
      </c>
      <c r="D18" s="4"/>
      <c r="E18" s="7">
        <f>E5+E6+E7+E8+E9+E10+E11+E13+E14+E16+E15+E12</f>
        <v>41232.089999999997</v>
      </c>
      <c r="F18" s="7"/>
      <c r="G18" s="7">
        <f t="shared" ref="G18:Q18" si="10">G5+G6+G7+G8+G9+G10+G11+G13+G14+G16+G15+G12</f>
        <v>45850.090000000004</v>
      </c>
      <c r="H18" s="7"/>
      <c r="I18" s="7">
        <f t="shared" si="10"/>
        <v>45850.090000000004</v>
      </c>
      <c r="J18" s="7"/>
      <c r="K18" s="7">
        <f>K5+K6+K7+K8+K9+K10+K11+K13+K14+K16+K15+K12</f>
        <v>74165.919999999984</v>
      </c>
      <c r="L18" s="7"/>
      <c r="M18" s="7">
        <f t="shared" si="10"/>
        <v>65971.34</v>
      </c>
      <c r="N18" s="7"/>
      <c r="O18" s="7">
        <f t="shared" si="10"/>
        <v>65971.34</v>
      </c>
      <c r="P18" s="7"/>
      <c r="Q18" s="7">
        <f t="shared" si="10"/>
        <v>88999.099999999977</v>
      </c>
    </row>
    <row r="19" spans="1:17" ht="24.75" customHeight="1" x14ac:dyDescent="0.25">
      <c r="A19" s="4"/>
      <c r="B19" s="4"/>
      <c r="C19" s="11" t="s">
        <v>17</v>
      </c>
      <c r="D19" s="4"/>
      <c r="E19" s="7">
        <f>ROUND(E18*12,2)</f>
        <v>494785.08</v>
      </c>
      <c r="F19" s="5"/>
      <c r="G19" s="7">
        <f>ROUND(G18*12,2)</f>
        <v>550201.07999999996</v>
      </c>
      <c r="H19" s="5"/>
      <c r="I19" s="7">
        <f>ROUND(I18*12,2)</f>
        <v>550201.07999999996</v>
      </c>
      <c r="J19" s="17"/>
      <c r="K19" s="7">
        <f>ROUND(K18*12,2)</f>
        <v>889991.04</v>
      </c>
      <c r="L19" s="17"/>
      <c r="M19" s="16">
        <f>ROUND(M18*12,2)</f>
        <v>791656.08</v>
      </c>
      <c r="N19" s="17"/>
      <c r="O19" s="16">
        <f>ROUND(O18*12,2)</f>
        <v>791656.08</v>
      </c>
      <c r="P19" s="17"/>
      <c r="Q19" s="7">
        <f>ROUND(Q18*12,2)</f>
        <v>1067989.2</v>
      </c>
    </row>
    <row r="20" spans="1:17" x14ac:dyDescent="0.25">
      <c r="A20" s="4"/>
      <c r="B20" s="4"/>
      <c r="C20" s="4"/>
      <c r="D20" s="4"/>
      <c r="E20" s="4"/>
      <c r="F20" s="4"/>
      <c r="G20" s="23"/>
      <c r="H20" s="4"/>
      <c r="I20" s="23"/>
      <c r="J20" s="18"/>
      <c r="K20" s="24"/>
      <c r="L20" s="18"/>
      <c r="M20" s="24"/>
      <c r="N20" s="18"/>
      <c r="O20" s="24"/>
      <c r="P20" s="18"/>
      <c r="Q20" s="24"/>
    </row>
    <row r="21" spans="1:17" ht="45" x14ac:dyDescent="0.25">
      <c r="A21" s="3">
        <v>2</v>
      </c>
      <c r="B21" s="6" t="s">
        <v>4</v>
      </c>
      <c r="C21" s="6" t="s">
        <v>40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9">
        <v>0.25</v>
      </c>
      <c r="K21" s="7">
        <f>ROUND(7471*J21,2)</f>
        <v>1867.75</v>
      </c>
      <c r="L21" s="19">
        <v>0.25</v>
      </c>
      <c r="M21" s="7">
        <f>ROUND(7471*L21,2)</f>
        <v>1867.75</v>
      </c>
      <c r="N21" s="19">
        <v>0.25</v>
      </c>
      <c r="O21" s="7">
        <f>ROUND(7471*N21,2)</f>
        <v>1867.75</v>
      </c>
      <c r="P21" s="19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47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8"/>
      <c r="K22" s="7">
        <f>ROUND(K21*0.3,2)</f>
        <v>560.33000000000004</v>
      </c>
      <c r="L22" s="18"/>
      <c r="M22" s="16">
        <f>ROUND(M21*0.3,2)</f>
        <v>560.33000000000004</v>
      </c>
      <c r="N22" s="18"/>
      <c r="O22" s="16">
        <f>ROUND(O21*0.3,2)</f>
        <v>560.33000000000004</v>
      </c>
      <c r="P22" s="18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46</v>
      </c>
      <c r="D23" s="4"/>
      <c r="E23" s="7"/>
      <c r="F23" s="5"/>
      <c r="G23" s="7"/>
      <c r="H23" s="4"/>
      <c r="I23" s="7"/>
      <c r="J23" s="18"/>
      <c r="K23" s="7">
        <f>ROUND((K21+K22)*0.2,2)</f>
        <v>485.62</v>
      </c>
      <c r="L23" s="18"/>
      <c r="M23" s="16"/>
      <c r="N23" s="18"/>
      <c r="O23" s="16"/>
      <c r="P23" s="18"/>
      <c r="Q23" s="7">
        <f>ROUND((Q21+Q22)*0.2,2)</f>
        <v>485.62</v>
      </c>
    </row>
    <row r="24" spans="1:17" ht="60" x14ac:dyDescent="0.25">
      <c r="A24" s="4"/>
      <c r="B24" s="4"/>
      <c r="C24" s="6" t="s">
        <v>48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8"/>
      <c r="K24" s="7">
        <f>ROUND((K21+K22)*0.3,2)</f>
        <v>728.42</v>
      </c>
      <c r="L24" s="18"/>
      <c r="M24" s="16">
        <f>ROUND((M21+M22)*0.3,2)</f>
        <v>728.42</v>
      </c>
      <c r="N24" s="18"/>
      <c r="O24" s="16">
        <f>ROUND((O21+O22)*0.3,2)</f>
        <v>728.42</v>
      </c>
      <c r="P24" s="18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59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8"/>
      <c r="K25" s="7">
        <f t="shared" ref="K25" si="11">ROUND(K21*0.25,2)</f>
        <v>466.94</v>
      </c>
      <c r="L25" s="18"/>
      <c r="M25" s="16">
        <f>ROUND(M21*0.25,2)</f>
        <v>466.94</v>
      </c>
      <c r="N25" s="18"/>
      <c r="O25" s="16">
        <f>ROUND(O21*0.25,2)</f>
        <v>466.94</v>
      </c>
      <c r="P25" s="18"/>
      <c r="Q25" s="7">
        <f t="shared" ref="Q25" si="12">ROUND(Q21*0.25,2)</f>
        <v>466.94</v>
      </c>
    </row>
    <row r="26" spans="1:17" ht="45" x14ac:dyDescent="0.25">
      <c r="A26" s="4"/>
      <c r="B26" s="4"/>
      <c r="C26" s="6" t="s">
        <v>12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49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50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13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x14ac:dyDescent="0.25">
      <c r="A30" s="4"/>
      <c r="B30" s="4"/>
      <c r="C30" s="4" t="s">
        <v>14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30" x14ac:dyDescent="0.25">
      <c r="A31" s="4"/>
      <c r="B31" s="4"/>
      <c r="C31" s="6" t="s">
        <v>15</v>
      </c>
      <c r="D31" s="4"/>
      <c r="E31" s="12">
        <f>ROUND((E21+E22+E23+E24+E25+E26+E27+E29+E30+E28)*0.302,2)</f>
        <v>1557.54</v>
      </c>
      <c r="F31" s="12"/>
      <c r="G31" s="12">
        <f t="shared" ref="G31:Q31" si="18">ROUND((G21+G22+G23+G24+G25+G26+G27+G29+G30+G28)*0.302,2)</f>
        <v>1557.54</v>
      </c>
      <c r="H31" s="12"/>
      <c r="I31" s="12">
        <f t="shared" si="18"/>
        <v>1557.54</v>
      </c>
      <c r="J31" s="12"/>
      <c r="K31" s="12">
        <f t="shared" si="18"/>
        <v>1713</v>
      </c>
      <c r="L31" s="12"/>
      <c r="M31" s="12">
        <f t="shared" si="18"/>
        <v>1557.54</v>
      </c>
      <c r="N31" s="12"/>
      <c r="O31" s="12">
        <f t="shared" si="18"/>
        <v>1557.54</v>
      </c>
      <c r="P31" s="12"/>
      <c r="Q31" s="12">
        <f t="shared" si="18"/>
        <v>1713</v>
      </c>
    </row>
    <row r="32" spans="1:17" ht="52.5" customHeight="1" x14ac:dyDescent="0.25">
      <c r="A32" s="4"/>
      <c r="B32" s="4"/>
      <c r="C32" s="6" t="s">
        <v>23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1" t="s">
        <v>16</v>
      </c>
      <c r="D33" s="4"/>
      <c r="E33" s="7">
        <f>E21+E22+E23+E24+E25+E26+E27+E29+E30+E31+E28</f>
        <v>6714.9500000000007</v>
      </c>
      <c r="F33" s="7"/>
      <c r="G33" s="7">
        <f t="shared" ref="G33:Q33" si="19">G21+G22+G23+G24+G25+G26+G27+G29+G30+G31+G28</f>
        <v>6714.9500000000007</v>
      </c>
      <c r="H33" s="7"/>
      <c r="I33" s="7">
        <f t="shared" si="19"/>
        <v>6714.9500000000007</v>
      </c>
      <c r="J33" s="7"/>
      <c r="K33" s="7">
        <f t="shared" si="19"/>
        <v>7385.18</v>
      </c>
      <c r="L33" s="7"/>
      <c r="M33" s="7">
        <f t="shared" si="19"/>
        <v>6714.9500000000007</v>
      </c>
      <c r="N33" s="7"/>
      <c r="O33" s="7">
        <f t="shared" si="19"/>
        <v>6714.9500000000007</v>
      </c>
      <c r="P33" s="7"/>
      <c r="Q33" s="7">
        <f t="shared" si="19"/>
        <v>7385.18</v>
      </c>
    </row>
    <row r="34" spans="1:17" x14ac:dyDescent="0.25">
      <c r="A34" s="4"/>
      <c r="B34" s="4"/>
      <c r="C34" s="11" t="s">
        <v>17</v>
      </c>
      <c r="D34" s="4"/>
      <c r="E34" s="7">
        <f>ROUND(E33*12,2)</f>
        <v>80579.399999999994</v>
      </c>
      <c r="F34" s="5"/>
      <c r="G34" s="7">
        <f>ROUND(G33*12,2)</f>
        <v>80579.399999999994</v>
      </c>
      <c r="H34" s="4"/>
      <c r="I34" s="7">
        <f>ROUND(I33*12,2)</f>
        <v>80579.399999999994</v>
      </c>
      <c r="J34" s="18"/>
      <c r="K34" s="7">
        <f>ROUND(K33*12,2)</f>
        <v>88622.16</v>
      </c>
      <c r="L34" s="18"/>
      <c r="M34" s="16">
        <f>ROUND(M33*12,2)</f>
        <v>80579.399999999994</v>
      </c>
      <c r="N34" s="18"/>
      <c r="O34" s="16">
        <f>ROUND(O33*12,2)</f>
        <v>80579.399999999994</v>
      </c>
      <c r="P34" s="18"/>
      <c r="Q34" s="7">
        <f>ROUND(Q33*12,2)</f>
        <v>88622.16</v>
      </c>
    </row>
    <row r="35" spans="1:17" ht="45" x14ac:dyDescent="0.25">
      <c r="A35" s="3">
        <v>3</v>
      </c>
      <c r="B35" s="6" t="s">
        <v>31</v>
      </c>
      <c r="C35" s="6" t="s">
        <v>40</v>
      </c>
      <c r="D35" s="3">
        <v>0.125</v>
      </c>
      <c r="E35" s="7">
        <f>ROUND(7471*D35,2)</f>
        <v>933.88</v>
      </c>
      <c r="F35" s="21"/>
      <c r="G35" s="7">
        <f>ROUND(7471*F35,2)</f>
        <v>0</v>
      </c>
      <c r="H35" s="21">
        <v>0.125</v>
      </c>
      <c r="I35" s="7">
        <f>ROUND(7471*H35,2)</f>
        <v>933.88</v>
      </c>
      <c r="J35" s="22">
        <v>0.125</v>
      </c>
      <c r="K35" s="7">
        <f>ROUND(7471*J35,2)</f>
        <v>933.88</v>
      </c>
      <c r="L35" s="22"/>
      <c r="M35" s="7">
        <f>ROUND(7471*L35,2)</f>
        <v>0</v>
      </c>
      <c r="N35" s="22">
        <v>0.125</v>
      </c>
      <c r="O35" s="7">
        <f>ROUND(7471*N35,2)</f>
        <v>933.88</v>
      </c>
      <c r="P35" s="22">
        <v>0.125</v>
      </c>
      <c r="Q35" s="7">
        <f>ROUND(7471*P35,2)</f>
        <v>933.88</v>
      </c>
    </row>
    <row r="36" spans="1:17" ht="45" x14ac:dyDescent="0.25">
      <c r="A36" s="4"/>
      <c r="B36" s="4"/>
      <c r="C36" s="6" t="s">
        <v>47</v>
      </c>
      <c r="D36" s="4"/>
      <c r="E36" s="7">
        <f>ROUND(E35*0.3,2)</f>
        <v>280.16000000000003</v>
      </c>
      <c r="F36" s="5"/>
      <c r="G36" s="7">
        <f>ROUND(G35*0.3,2)</f>
        <v>0</v>
      </c>
      <c r="H36" s="4"/>
      <c r="I36" s="7">
        <f>ROUND(I35*0.3,2)</f>
        <v>280.16000000000003</v>
      </c>
      <c r="J36" s="18"/>
      <c r="K36" s="7">
        <f>ROUND(K35*0.3,2)</f>
        <v>280.16000000000003</v>
      </c>
      <c r="L36" s="18"/>
      <c r="M36" s="16">
        <f>ROUND(M35*0.3,2)</f>
        <v>0</v>
      </c>
      <c r="N36" s="18"/>
      <c r="O36" s="16">
        <f>ROUND(O35*0.3,2)</f>
        <v>280.16000000000003</v>
      </c>
      <c r="P36" s="18"/>
      <c r="Q36" s="7">
        <f>ROUND(Q35*0.3,2)</f>
        <v>280.16000000000003</v>
      </c>
    </row>
    <row r="37" spans="1:17" ht="45" x14ac:dyDescent="0.25">
      <c r="A37" s="4"/>
      <c r="B37" s="4"/>
      <c r="C37" s="6" t="s">
        <v>46</v>
      </c>
      <c r="D37" s="4"/>
      <c r="E37" s="7"/>
      <c r="F37" s="5"/>
      <c r="G37" s="7"/>
      <c r="H37" s="4"/>
      <c r="I37" s="7"/>
      <c r="J37" s="18"/>
      <c r="K37" s="7">
        <f>ROUND((K35+K36)*0.2,2)</f>
        <v>242.81</v>
      </c>
      <c r="L37" s="18"/>
      <c r="M37" s="16"/>
      <c r="N37" s="18"/>
      <c r="O37" s="16"/>
      <c r="P37" s="18"/>
      <c r="Q37" s="7">
        <f>ROUND((Q35+Q36)*0.2,2)</f>
        <v>242.81</v>
      </c>
    </row>
    <row r="38" spans="1:17" ht="60" x14ac:dyDescent="0.25">
      <c r="A38" s="4"/>
      <c r="B38" s="4"/>
      <c r="C38" s="6" t="s">
        <v>48</v>
      </c>
      <c r="D38" s="4"/>
      <c r="E38" s="7">
        <f>ROUND((E35+E36)*0.3,2)</f>
        <v>364.21</v>
      </c>
      <c r="F38" s="5"/>
      <c r="G38" s="7">
        <f>ROUND((G35+G36)*0.3,2)</f>
        <v>0</v>
      </c>
      <c r="H38" s="4"/>
      <c r="I38" s="7">
        <f>ROUND((I35+I36)*0.3,2)</f>
        <v>364.21</v>
      </c>
      <c r="J38" s="18"/>
      <c r="K38" s="7">
        <f>ROUND((K35+K36)*0.3,2)</f>
        <v>364.21</v>
      </c>
      <c r="L38" s="18"/>
      <c r="M38" s="16">
        <f>ROUND((M35+M36)*0.3,2)</f>
        <v>0</v>
      </c>
      <c r="N38" s="18"/>
      <c r="O38" s="16">
        <f>ROUND((O35+O36)*0.3,2)</f>
        <v>364.21</v>
      </c>
      <c r="P38" s="18"/>
      <c r="Q38" s="7">
        <f>ROUND((Q35+Q36)*0.3,2)</f>
        <v>364.21</v>
      </c>
    </row>
    <row r="39" spans="1:17" ht="36" customHeight="1" x14ac:dyDescent="0.25">
      <c r="A39" s="4"/>
      <c r="B39" s="4"/>
      <c r="C39" s="6" t="s">
        <v>59</v>
      </c>
      <c r="D39" s="4"/>
      <c r="E39" s="7">
        <f>ROUND(E35*0.25,2)</f>
        <v>233.47</v>
      </c>
      <c r="F39" s="7"/>
      <c r="G39" s="7">
        <f t="shared" ref="G39:O39" si="20">ROUND(G35*0.25,2)</f>
        <v>0</v>
      </c>
      <c r="H39" s="7"/>
      <c r="I39" s="7">
        <f t="shared" si="20"/>
        <v>233.47</v>
      </c>
      <c r="J39" s="7"/>
      <c r="K39" s="7">
        <f t="shared" ref="K39" si="21">ROUND(K35*0.25,2)</f>
        <v>233.47</v>
      </c>
      <c r="L39" s="7"/>
      <c r="M39" s="16">
        <f t="shared" si="20"/>
        <v>0</v>
      </c>
      <c r="N39" s="16"/>
      <c r="O39" s="16">
        <f t="shared" si="20"/>
        <v>233.47</v>
      </c>
      <c r="P39" s="7"/>
      <c r="Q39" s="7">
        <f t="shared" ref="Q39" si="22">ROUND(Q35*0.25,2)</f>
        <v>233.47</v>
      </c>
    </row>
    <row r="40" spans="1:17" ht="45" x14ac:dyDescent="0.25">
      <c r="A40" s="4"/>
      <c r="B40" s="4"/>
      <c r="C40" s="6" t="s">
        <v>12</v>
      </c>
      <c r="D40" s="4"/>
      <c r="E40" s="7">
        <f>ROUND((E35+E36)*0.05,2)</f>
        <v>60.7</v>
      </c>
      <c r="F40" s="7"/>
      <c r="G40" s="7">
        <f t="shared" ref="G40:Q40" si="23">ROUND((G35+G36)*0.05,2)</f>
        <v>0</v>
      </c>
      <c r="H40" s="7"/>
      <c r="I40" s="7">
        <f t="shared" si="23"/>
        <v>60.7</v>
      </c>
      <c r="J40" s="7"/>
      <c r="K40" s="7">
        <f t="shared" si="23"/>
        <v>60.7</v>
      </c>
      <c r="L40" s="7"/>
      <c r="M40" s="7">
        <f t="shared" si="23"/>
        <v>0</v>
      </c>
      <c r="N40" s="7"/>
      <c r="O40" s="7">
        <f t="shared" si="23"/>
        <v>60.7</v>
      </c>
      <c r="P40" s="7"/>
      <c r="Q40" s="7">
        <f t="shared" si="23"/>
        <v>60.7</v>
      </c>
    </row>
    <row r="41" spans="1:17" ht="45" x14ac:dyDescent="0.25">
      <c r="A41" s="4"/>
      <c r="B41" s="4"/>
      <c r="C41" s="6" t="s">
        <v>49</v>
      </c>
      <c r="D41" s="4"/>
      <c r="E41" s="7">
        <f>ROUND(E35*0.4,2)</f>
        <v>373.55</v>
      </c>
      <c r="F41" s="7"/>
      <c r="G41" s="7">
        <f t="shared" ref="G41:Q41" si="24">ROUND(G35*0.4,2)</f>
        <v>0</v>
      </c>
      <c r="H41" s="7"/>
      <c r="I41" s="7">
        <f t="shared" si="24"/>
        <v>373.55</v>
      </c>
      <c r="J41" s="7"/>
      <c r="K41" s="7">
        <f t="shared" si="24"/>
        <v>373.55</v>
      </c>
      <c r="L41" s="7"/>
      <c r="M41" s="7">
        <f t="shared" si="24"/>
        <v>0</v>
      </c>
      <c r="N41" s="7"/>
      <c r="O41" s="7">
        <f t="shared" si="24"/>
        <v>373.55</v>
      </c>
      <c r="P41" s="7"/>
      <c r="Q41" s="7">
        <f t="shared" si="24"/>
        <v>373.55</v>
      </c>
    </row>
    <row r="42" spans="1:17" ht="36.75" customHeight="1" x14ac:dyDescent="0.25">
      <c r="A42" s="4"/>
      <c r="B42" s="4"/>
      <c r="C42" s="6" t="s">
        <v>50</v>
      </c>
      <c r="D42" s="4"/>
      <c r="E42" s="7">
        <f>ROUND(E35*0.2,2)</f>
        <v>186.78</v>
      </c>
      <c r="F42" s="7"/>
      <c r="G42" s="7">
        <f t="shared" ref="G42:Q42" si="25">ROUND(G35*0.2,2)</f>
        <v>0</v>
      </c>
      <c r="H42" s="7"/>
      <c r="I42" s="7">
        <f t="shared" si="25"/>
        <v>186.78</v>
      </c>
      <c r="J42" s="7"/>
      <c r="K42" s="7">
        <f t="shared" si="25"/>
        <v>186.78</v>
      </c>
      <c r="L42" s="7"/>
      <c r="M42" s="7">
        <f t="shared" si="25"/>
        <v>0</v>
      </c>
      <c r="N42" s="7"/>
      <c r="O42" s="7">
        <f t="shared" si="25"/>
        <v>186.78</v>
      </c>
      <c r="P42" s="7"/>
      <c r="Q42" s="7">
        <f t="shared" si="25"/>
        <v>186.78</v>
      </c>
    </row>
    <row r="43" spans="1:17" ht="26.25" customHeight="1" x14ac:dyDescent="0.25">
      <c r="A43" s="4"/>
      <c r="B43" s="4"/>
      <c r="C43" s="4" t="s">
        <v>13</v>
      </c>
      <c r="D43" s="4"/>
      <c r="E43" s="7">
        <f>ROUND((E35+E36+E37+E38+E39+E40+E41+E42)*0.05,2)</f>
        <v>121.64</v>
      </c>
      <c r="F43" s="7"/>
      <c r="G43" s="7">
        <f t="shared" ref="G43:Q43" si="26">ROUND((G35+G36+G37+G38+G39+G40+G41+G42)*0.05,2)</f>
        <v>0</v>
      </c>
      <c r="H43" s="7"/>
      <c r="I43" s="7">
        <f t="shared" si="26"/>
        <v>121.64</v>
      </c>
      <c r="J43" s="7"/>
      <c r="K43" s="7">
        <f t="shared" si="26"/>
        <v>133.78</v>
      </c>
      <c r="L43" s="7"/>
      <c r="M43" s="7">
        <f t="shared" si="26"/>
        <v>0</v>
      </c>
      <c r="N43" s="7"/>
      <c r="O43" s="7">
        <f t="shared" si="26"/>
        <v>121.64</v>
      </c>
      <c r="P43" s="7"/>
      <c r="Q43" s="7">
        <f t="shared" si="26"/>
        <v>133.78</v>
      </c>
    </row>
    <row r="44" spans="1:17" x14ac:dyDescent="0.25">
      <c r="A44" s="4"/>
      <c r="B44" s="4"/>
      <c r="C44" s="4" t="s">
        <v>14</v>
      </c>
      <c r="D44" s="4"/>
      <c r="E44" s="3">
        <f>ROUND((E35+E36+E37+E38+E39+E40+E41+E42)*0.01,2)</f>
        <v>24.33</v>
      </c>
      <c r="F44" s="3"/>
      <c r="G44" s="3">
        <f t="shared" ref="G44:Q44" si="27">ROUND((G35+G36+G37+G38+G39+G40+G41+G42)*0.01,2)</f>
        <v>0</v>
      </c>
      <c r="H44" s="3"/>
      <c r="I44" s="3">
        <f t="shared" si="27"/>
        <v>24.33</v>
      </c>
      <c r="J44" s="3"/>
      <c r="K44" s="3">
        <f t="shared" si="27"/>
        <v>26.76</v>
      </c>
      <c r="L44" s="3"/>
      <c r="M44" s="3">
        <f t="shared" si="27"/>
        <v>0</v>
      </c>
      <c r="N44" s="3"/>
      <c r="O44" s="3">
        <f t="shared" si="27"/>
        <v>24.33</v>
      </c>
      <c r="P44" s="3"/>
      <c r="Q44" s="3">
        <f t="shared" si="27"/>
        <v>26.76</v>
      </c>
    </row>
    <row r="45" spans="1:17" ht="30" x14ac:dyDescent="0.25">
      <c r="A45" s="4"/>
      <c r="B45" s="4"/>
      <c r="C45" s="6" t="s">
        <v>15</v>
      </c>
      <c r="D45" s="4"/>
      <c r="E45" s="12">
        <f>ROUND((E35+E36+E37+E38+E39+E40+E41+E43+E44+E42)*0.302,2)</f>
        <v>778.77</v>
      </c>
      <c r="F45" s="12"/>
      <c r="G45" s="12">
        <f t="shared" ref="G45:Q45" si="28">ROUND((G35+G36+G37+G38+G39+G40+G41+G43+G44+G42)*0.302,2)</f>
        <v>0</v>
      </c>
      <c r="H45" s="12"/>
      <c r="I45" s="12">
        <f t="shared" si="28"/>
        <v>778.77</v>
      </c>
      <c r="J45" s="12"/>
      <c r="K45" s="12">
        <f t="shared" si="28"/>
        <v>856.5</v>
      </c>
      <c r="L45" s="12"/>
      <c r="M45" s="12">
        <f t="shared" si="28"/>
        <v>0</v>
      </c>
      <c r="N45" s="12"/>
      <c r="O45" s="12">
        <f t="shared" si="28"/>
        <v>778.77</v>
      </c>
      <c r="P45" s="12"/>
      <c r="Q45" s="12">
        <f t="shared" si="28"/>
        <v>856.5</v>
      </c>
    </row>
    <row r="46" spans="1:17" ht="55.5" customHeight="1" x14ac:dyDescent="0.25">
      <c r="A46" s="4"/>
      <c r="B46" s="4"/>
      <c r="C46" s="6" t="s">
        <v>24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1" t="s">
        <v>16</v>
      </c>
      <c r="D47" s="4"/>
      <c r="E47" s="7">
        <f>E35+E36+E37+E38+E39+E40+E41+E43+E44+E45+E42</f>
        <v>3357.4900000000002</v>
      </c>
      <c r="F47" s="7"/>
      <c r="G47" s="7">
        <f t="shared" ref="G47:Q47" si="29">G35+G36+G37+G38+G39+G40+G41+G43+G44+G45+G42</f>
        <v>0</v>
      </c>
      <c r="H47" s="7"/>
      <c r="I47" s="7">
        <f t="shared" si="29"/>
        <v>3357.4900000000002</v>
      </c>
      <c r="J47" s="7"/>
      <c r="K47" s="7">
        <f t="shared" si="29"/>
        <v>3692.6000000000004</v>
      </c>
      <c r="L47" s="7"/>
      <c r="M47" s="7">
        <f t="shared" si="29"/>
        <v>0</v>
      </c>
      <c r="N47" s="7"/>
      <c r="O47" s="7">
        <f t="shared" si="29"/>
        <v>3357.4900000000002</v>
      </c>
      <c r="P47" s="7"/>
      <c r="Q47" s="7">
        <f t="shared" si="29"/>
        <v>3692.6000000000004</v>
      </c>
    </row>
    <row r="48" spans="1:17" x14ac:dyDescent="0.25">
      <c r="A48" s="4"/>
      <c r="B48" s="4"/>
      <c r="C48" s="11" t="s">
        <v>17</v>
      </c>
      <c r="D48" s="4"/>
      <c r="E48" s="7">
        <f>ROUND(E47*12,2)</f>
        <v>40289.879999999997</v>
      </c>
      <c r="F48" s="5"/>
      <c r="G48" s="7">
        <f>ROUND(G47*12,2)</f>
        <v>0</v>
      </c>
      <c r="H48" s="4"/>
      <c r="I48" s="7">
        <f>ROUND(I47*12,2)</f>
        <v>40289.879999999997</v>
      </c>
      <c r="J48" s="18"/>
      <c r="K48" s="7">
        <f>ROUND(K47*12,2)</f>
        <v>44311.199999999997</v>
      </c>
      <c r="L48" s="18"/>
      <c r="M48" s="16">
        <f>ROUND(M47*12,2)</f>
        <v>0</v>
      </c>
      <c r="N48" s="18"/>
      <c r="O48" s="16">
        <f>ROUND(O47*12,2)</f>
        <v>40289.879999999997</v>
      </c>
      <c r="P48" s="18"/>
      <c r="Q48" s="7">
        <f>ROUND(Q47*12,2)</f>
        <v>44311.199999999997</v>
      </c>
    </row>
    <row r="49" spans="1:17" ht="65.25" customHeight="1" x14ac:dyDescent="0.25">
      <c r="A49" s="3">
        <v>4</v>
      </c>
      <c r="B49" s="6" t="s">
        <v>20</v>
      </c>
      <c r="C49" s="6" t="s">
        <v>40</v>
      </c>
      <c r="D49" s="4"/>
      <c r="E49" s="7"/>
      <c r="F49" s="5"/>
      <c r="G49" s="7"/>
      <c r="H49" s="3"/>
      <c r="I49" s="7"/>
      <c r="J49" s="3">
        <v>1</v>
      </c>
      <c r="K49" s="7">
        <v>8621</v>
      </c>
      <c r="L49" s="18"/>
      <c r="M49" s="16"/>
      <c r="N49" s="18"/>
      <c r="O49" s="16"/>
      <c r="P49" s="3">
        <v>1</v>
      </c>
      <c r="Q49" s="7">
        <v>8621</v>
      </c>
    </row>
    <row r="50" spans="1:17" ht="45" x14ac:dyDescent="0.25">
      <c r="A50" s="4"/>
      <c r="B50" s="4"/>
      <c r="C50" s="6" t="s">
        <v>47</v>
      </c>
      <c r="D50" s="4"/>
      <c r="E50" s="7"/>
      <c r="F50" s="5"/>
      <c r="G50" s="7"/>
      <c r="H50" s="4"/>
      <c r="I50" s="7"/>
      <c r="J50" s="4"/>
      <c r="K50" s="7">
        <f>ROUND(K49*0.3,2)</f>
        <v>2586.3000000000002</v>
      </c>
      <c r="L50" s="18"/>
      <c r="M50" s="16"/>
      <c r="N50" s="18"/>
      <c r="O50" s="16"/>
      <c r="P50" s="4"/>
      <c r="Q50" s="7">
        <f>ROUND(Q49*0.3,2)</f>
        <v>2586.3000000000002</v>
      </c>
    </row>
    <row r="51" spans="1:17" ht="41.25" customHeight="1" x14ac:dyDescent="0.25">
      <c r="A51" s="4"/>
      <c r="B51" s="4"/>
      <c r="C51" s="6" t="s">
        <v>46</v>
      </c>
      <c r="D51" s="4"/>
      <c r="E51" s="7"/>
      <c r="F51" s="5"/>
      <c r="G51" s="7"/>
      <c r="H51" s="4"/>
      <c r="I51" s="7"/>
      <c r="J51" s="4"/>
      <c r="K51" s="7">
        <f>ROUND((K49+K50)*0.2,2)</f>
        <v>2241.46</v>
      </c>
      <c r="L51" s="18"/>
      <c r="M51" s="16"/>
      <c r="N51" s="18"/>
      <c r="O51" s="16"/>
      <c r="P51" s="4"/>
      <c r="Q51" s="7">
        <f>ROUND((Q49+Q50)*0.2,2)</f>
        <v>2241.46</v>
      </c>
    </row>
    <row r="52" spans="1:17" ht="60" x14ac:dyDescent="0.25">
      <c r="A52" s="4"/>
      <c r="B52" s="4"/>
      <c r="C52" s="6" t="s">
        <v>48</v>
      </c>
      <c r="D52" s="4"/>
      <c r="E52" s="7"/>
      <c r="F52" s="5"/>
      <c r="G52" s="7"/>
      <c r="H52" s="4"/>
      <c r="I52" s="7"/>
      <c r="J52" s="4"/>
      <c r="K52" s="7">
        <f>ROUND((K49+K50)*0.3,2)</f>
        <v>3362.19</v>
      </c>
      <c r="L52" s="18"/>
      <c r="M52" s="16"/>
      <c r="N52" s="18"/>
      <c r="O52" s="16"/>
      <c r="P52" s="4"/>
      <c r="Q52" s="7">
        <f>ROUND((Q49+Q50)*0.3,2)</f>
        <v>3362.19</v>
      </c>
    </row>
    <row r="53" spans="1:17" ht="36" customHeight="1" x14ac:dyDescent="0.25">
      <c r="A53" s="4"/>
      <c r="B53" s="4"/>
      <c r="C53" s="6" t="s">
        <v>59</v>
      </c>
      <c r="D53" s="4"/>
      <c r="E53" s="7"/>
      <c r="F53" s="5"/>
      <c r="G53" s="7"/>
      <c r="H53" s="4"/>
      <c r="I53" s="7"/>
      <c r="J53" s="4"/>
      <c r="K53" s="7">
        <f t="shared" ref="K53" si="30">ROUND(K49*0.25,2)</f>
        <v>2155.25</v>
      </c>
      <c r="L53" s="18"/>
      <c r="M53" s="16"/>
      <c r="N53" s="18"/>
      <c r="O53" s="16"/>
      <c r="P53" s="4"/>
      <c r="Q53" s="7">
        <f t="shared" ref="Q53" si="31">ROUND(Q49*0.25,2)</f>
        <v>2155.25</v>
      </c>
    </row>
    <row r="54" spans="1:17" ht="45" x14ac:dyDescent="0.25">
      <c r="A54" s="4"/>
      <c r="B54" s="4"/>
      <c r="C54" s="6" t="s">
        <v>12</v>
      </c>
      <c r="D54" s="4"/>
      <c r="E54" s="7"/>
      <c r="F54" s="5"/>
      <c r="G54" s="7"/>
      <c r="H54" s="4"/>
      <c r="I54" s="7"/>
      <c r="J54" s="4"/>
      <c r="K54" s="7">
        <f>ROUND((K49+K50)*0.05,2)</f>
        <v>560.37</v>
      </c>
      <c r="L54" s="18"/>
      <c r="M54" s="16"/>
      <c r="N54" s="18"/>
      <c r="O54" s="16"/>
      <c r="P54" s="4"/>
      <c r="Q54" s="7">
        <f>ROUND((Q49+Q50)*0.05,2)</f>
        <v>560.37</v>
      </c>
    </row>
    <row r="55" spans="1:17" ht="45" x14ac:dyDescent="0.25">
      <c r="A55" s="4"/>
      <c r="B55" s="4"/>
      <c r="C55" s="6" t="s">
        <v>49</v>
      </c>
      <c r="D55" s="4"/>
      <c r="E55" s="7"/>
      <c r="F55" s="5"/>
      <c r="G55" s="7"/>
      <c r="H55" s="4"/>
      <c r="I55" s="7"/>
      <c r="J55" s="4"/>
      <c r="K55" s="7">
        <f>ROUND(K49*0.4,2)</f>
        <v>3448.4</v>
      </c>
      <c r="L55" s="18"/>
      <c r="M55" s="16"/>
      <c r="N55" s="18"/>
      <c r="O55" s="16"/>
      <c r="P55" s="4"/>
      <c r="Q55" s="7">
        <f>ROUND(Q49*0.2,2)</f>
        <v>1724.2</v>
      </c>
    </row>
    <row r="56" spans="1:17" ht="39.75" customHeight="1" x14ac:dyDescent="0.25">
      <c r="A56" s="4"/>
      <c r="B56" s="4"/>
      <c r="C56" s="6" t="s">
        <v>50</v>
      </c>
      <c r="D56" s="4"/>
      <c r="E56" s="7"/>
      <c r="F56" s="5"/>
      <c r="G56" s="7"/>
      <c r="H56" s="4"/>
      <c r="I56" s="7"/>
      <c r="J56" s="4"/>
      <c r="K56" s="7">
        <f>ROUND(K49*0.2,2)</f>
        <v>1724.2</v>
      </c>
      <c r="L56" s="18"/>
      <c r="M56" s="16"/>
      <c r="N56" s="18"/>
      <c r="O56" s="16"/>
      <c r="P56" s="4"/>
      <c r="Q56" s="7">
        <f>ROUND(Q49*0.504,2)</f>
        <v>4344.9799999999996</v>
      </c>
    </row>
    <row r="57" spans="1:17" x14ac:dyDescent="0.25">
      <c r="A57" s="4"/>
      <c r="B57" s="4"/>
      <c r="C57" s="4" t="s">
        <v>13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1234.96</v>
      </c>
      <c r="L57" s="18"/>
      <c r="M57" s="16"/>
      <c r="N57" s="18"/>
      <c r="O57" s="16"/>
      <c r="P57" s="4"/>
      <c r="Q57" s="7">
        <f>ROUND((Q49+Q50+Q51+Q52+Q53+Q54+Q55+Q56)*0.05,2)</f>
        <v>1279.79</v>
      </c>
    </row>
    <row r="58" spans="1:17" ht="24.75" customHeight="1" x14ac:dyDescent="0.25">
      <c r="A58" s="4"/>
      <c r="B58" s="4"/>
      <c r="C58" s="4" t="s">
        <v>14</v>
      </c>
      <c r="D58" s="4"/>
      <c r="E58" s="7"/>
      <c r="F58" s="5"/>
      <c r="G58" s="7"/>
      <c r="H58" s="4"/>
      <c r="I58" s="13"/>
      <c r="J58" s="4"/>
      <c r="K58" s="25">
        <f>ROUND((K49+K50+K51+K52+K53+K54+K55+K56)*0.01,2)</f>
        <v>246.99</v>
      </c>
      <c r="L58" s="18"/>
      <c r="M58" s="16"/>
      <c r="N58" s="18"/>
      <c r="O58" s="16"/>
      <c r="P58" s="4"/>
      <c r="Q58" s="25">
        <f>ROUND((Q49+Q50+Q51+Q52+Q53+Q54+Q55+Q56)*0.01,2)</f>
        <v>255.96</v>
      </c>
    </row>
    <row r="59" spans="1:17" ht="30" x14ac:dyDescent="0.25">
      <c r="A59" s="4"/>
      <c r="B59" s="4"/>
      <c r="C59" s="6" t="s">
        <v>15</v>
      </c>
      <c r="D59" s="4"/>
      <c r="E59" s="7"/>
      <c r="F59" s="5"/>
      <c r="G59" s="7"/>
      <c r="H59" s="4"/>
      <c r="I59" s="12"/>
      <c r="J59" s="4"/>
      <c r="K59" s="12">
        <f>ROUND((K49+K50+K51+K52+K53+K54+K55+K57+K58+K56)*0.302,2)</f>
        <v>7906.7</v>
      </c>
      <c r="L59" s="18"/>
      <c r="M59" s="16"/>
      <c r="N59" s="18"/>
      <c r="O59" s="16"/>
      <c r="P59" s="4"/>
      <c r="Q59" s="12">
        <f>ROUND((Q49+Q50+Q51+Q52+Q53+Q54+Q55+Q57+Q58+Q56)*0.302,2)</f>
        <v>8193.7099999999991</v>
      </c>
    </row>
    <row r="60" spans="1:17" ht="45" x14ac:dyDescent="0.25">
      <c r="A60" s="4"/>
      <c r="B60" s="4"/>
      <c r="C60" s="6" t="s">
        <v>25</v>
      </c>
      <c r="D60" s="4"/>
      <c r="E60" s="7"/>
      <c r="F60" s="5"/>
      <c r="G60" s="7"/>
      <c r="H60" s="4"/>
      <c r="I60" s="7"/>
      <c r="J60" s="4"/>
      <c r="K60" s="7"/>
      <c r="L60" s="18"/>
      <c r="M60" s="16"/>
      <c r="N60" s="18"/>
      <c r="O60" s="16"/>
      <c r="P60" s="4"/>
      <c r="Q60" s="7"/>
    </row>
    <row r="61" spans="1:17" x14ac:dyDescent="0.25">
      <c r="A61" s="4"/>
      <c r="B61" s="4"/>
      <c r="C61" s="11" t="s">
        <v>16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34087.82</v>
      </c>
      <c r="L61" s="18"/>
      <c r="M61" s="16"/>
      <c r="N61" s="18"/>
      <c r="O61" s="16"/>
      <c r="P61" s="4"/>
      <c r="Q61" s="7">
        <f>Q49+Q50+Q51+Q52+Q53+Q54+Q55+Q57+Q58+Q59+Q56</f>
        <v>35325.209999999992</v>
      </c>
    </row>
    <row r="62" spans="1:17" x14ac:dyDescent="0.25">
      <c r="A62" s="4"/>
      <c r="B62" s="4"/>
      <c r="C62" s="11" t="s">
        <v>17</v>
      </c>
      <c r="D62" s="4"/>
      <c r="E62" s="7"/>
      <c r="F62" s="5"/>
      <c r="G62" s="7"/>
      <c r="H62" s="4"/>
      <c r="I62" s="7"/>
      <c r="J62" s="4"/>
      <c r="K62" s="7">
        <f>ROUND(K61*12,2)</f>
        <v>409053.84</v>
      </c>
      <c r="L62" s="18"/>
      <c r="M62" s="16"/>
      <c r="N62" s="18"/>
      <c r="O62" s="16"/>
      <c r="P62" s="4"/>
      <c r="Q62" s="7">
        <f>ROUND(Q61*12,2)</f>
        <v>423902.52</v>
      </c>
    </row>
    <row r="63" spans="1:17" ht="30" x14ac:dyDescent="0.25">
      <c r="A63" s="3">
        <v>5</v>
      </c>
      <c r="B63" s="6" t="s">
        <v>22</v>
      </c>
      <c r="C63" s="6" t="s">
        <v>11</v>
      </c>
      <c r="D63" s="21">
        <v>8.3000000000000004E-2</v>
      </c>
      <c r="E63" s="7">
        <f>ROUND(8216*D63,2)</f>
        <v>681.93</v>
      </c>
      <c r="F63" s="21">
        <v>8.3000000000000004E-2</v>
      </c>
      <c r="G63" s="7">
        <f>ROUND(7900*F63,2)</f>
        <v>655.7</v>
      </c>
      <c r="H63" s="21">
        <v>8.3000000000000004E-2</v>
      </c>
      <c r="I63" s="7">
        <f>ROUND(7900*H63,2)</f>
        <v>655.7</v>
      </c>
      <c r="J63" s="21">
        <v>8.3000000000000004E-2</v>
      </c>
      <c r="K63" s="7">
        <f>ROUND(7900*J63,2)</f>
        <v>655.7</v>
      </c>
      <c r="L63" s="21">
        <v>8.3000000000000004E-2</v>
      </c>
      <c r="M63" s="16">
        <f>ROUND(7900*L63,2)</f>
        <v>655.7</v>
      </c>
      <c r="N63" s="22">
        <v>8.3000000000000004E-2</v>
      </c>
      <c r="O63" s="16">
        <f>ROUND(7900*N63,2)</f>
        <v>655.7</v>
      </c>
      <c r="P63" s="21">
        <v>8.3000000000000004E-2</v>
      </c>
      <c r="Q63" s="7">
        <f>ROUND(7900*P63,2)</f>
        <v>655.7</v>
      </c>
    </row>
    <row r="64" spans="1:17" ht="45" x14ac:dyDescent="0.25">
      <c r="A64" s="4"/>
      <c r="B64" s="4"/>
      <c r="C64" s="6" t="s">
        <v>52</v>
      </c>
      <c r="D64" s="4"/>
      <c r="E64" s="7">
        <f>ROUND(E63*0.3,2)</f>
        <v>204.58</v>
      </c>
      <c r="F64" s="5"/>
      <c r="G64" s="7">
        <f>ROUND(G63*0.3,2)</f>
        <v>196.71</v>
      </c>
      <c r="H64" s="4"/>
      <c r="I64" s="7">
        <f>ROUND(I63*0.3,2)</f>
        <v>196.71</v>
      </c>
      <c r="J64" s="18"/>
      <c r="K64" s="7">
        <f>ROUND(K63*0.3,2)</f>
        <v>196.71</v>
      </c>
      <c r="L64" s="18"/>
      <c r="M64" s="16">
        <f>ROUND(M63*0.3,2)</f>
        <v>196.71</v>
      </c>
      <c r="N64" s="18"/>
      <c r="O64" s="16">
        <f>ROUND(O63*0.3,2)</f>
        <v>196.71</v>
      </c>
      <c r="P64" s="18"/>
      <c r="Q64" s="7">
        <f>ROUND(Q63*0.3,2)</f>
        <v>196.71</v>
      </c>
    </row>
    <row r="65" spans="1:17" ht="45" x14ac:dyDescent="0.25">
      <c r="A65" s="4"/>
      <c r="B65" s="4"/>
      <c r="C65" s="6" t="s">
        <v>53</v>
      </c>
      <c r="D65" s="4"/>
      <c r="E65" s="7"/>
      <c r="F65" s="5"/>
      <c r="G65" s="7"/>
      <c r="H65" s="4"/>
      <c r="I65" s="7"/>
      <c r="J65" s="18"/>
      <c r="K65" s="7">
        <f>ROUND((K63+K64)*0.2,2)</f>
        <v>170.48</v>
      </c>
      <c r="L65" s="18"/>
      <c r="M65" s="16"/>
      <c r="N65" s="18"/>
      <c r="O65" s="16"/>
      <c r="P65" s="18"/>
      <c r="Q65" s="7">
        <f>ROUND((Q63+Q64)*0.2,2)</f>
        <v>170.48</v>
      </c>
    </row>
    <row r="66" spans="1:17" ht="60" x14ac:dyDescent="0.25">
      <c r="A66" s="4"/>
      <c r="B66" s="4"/>
      <c r="C66" s="6" t="s">
        <v>58</v>
      </c>
      <c r="D66" s="4"/>
      <c r="E66" s="7">
        <f>ROUND((E63+E64)*0.3,2)</f>
        <v>265.95</v>
      </c>
      <c r="F66" s="5"/>
      <c r="G66" s="7">
        <f>ROUND((G63+G64)*0.3,2)</f>
        <v>255.72</v>
      </c>
      <c r="H66" s="4"/>
      <c r="I66" s="7">
        <f>ROUND((I63+I64)*0.3,2)</f>
        <v>255.72</v>
      </c>
      <c r="J66" s="18"/>
      <c r="K66" s="7">
        <f>ROUND((K63+K64)*0.3,2)</f>
        <v>255.72</v>
      </c>
      <c r="L66" s="18"/>
      <c r="M66" s="16">
        <f>ROUND((M63+M64)*0.3,2)</f>
        <v>255.72</v>
      </c>
      <c r="N66" s="18"/>
      <c r="O66" s="16">
        <f>ROUND((O63+O64)*0.3,2)</f>
        <v>255.72</v>
      </c>
      <c r="P66" s="18"/>
      <c r="Q66" s="7">
        <f>ROUND((Q63+Q64)*0.3,2)</f>
        <v>255.72</v>
      </c>
    </row>
    <row r="67" spans="1:17" ht="60.75" customHeight="1" x14ac:dyDescent="0.25">
      <c r="A67" s="4"/>
      <c r="B67" s="4"/>
      <c r="C67" s="6" t="s">
        <v>60</v>
      </c>
      <c r="D67" s="4"/>
      <c r="E67" s="7">
        <f>ROUND(E63*0.25,2)</f>
        <v>170.48</v>
      </c>
      <c r="F67" s="7"/>
      <c r="G67" s="7">
        <f t="shared" ref="G67:O67" si="32">ROUND(G63*0.25,2)</f>
        <v>163.93</v>
      </c>
      <c r="H67" s="7"/>
      <c r="I67" s="7">
        <f t="shared" si="32"/>
        <v>163.93</v>
      </c>
      <c r="J67" s="7"/>
      <c r="K67" s="7">
        <f t="shared" ref="K67" si="33">ROUND(K63*0.25,2)</f>
        <v>163.93</v>
      </c>
      <c r="L67" s="7"/>
      <c r="M67" s="16">
        <f t="shared" si="32"/>
        <v>163.93</v>
      </c>
      <c r="N67" s="16"/>
      <c r="O67" s="16">
        <f t="shared" si="32"/>
        <v>163.93</v>
      </c>
      <c r="P67" s="7"/>
      <c r="Q67" s="7">
        <f t="shared" ref="Q67" si="34">ROUND(Q63*0.25,2)</f>
        <v>163.93</v>
      </c>
    </row>
    <row r="68" spans="1:17" ht="45.75" customHeight="1" x14ac:dyDescent="0.25">
      <c r="A68" s="4"/>
      <c r="B68" s="4"/>
      <c r="C68" s="6" t="s">
        <v>12</v>
      </c>
      <c r="D68" s="4"/>
      <c r="E68" s="7">
        <f>ROUND((E63+E64)*0.05,2)</f>
        <v>44.33</v>
      </c>
      <c r="F68" s="7"/>
      <c r="G68" s="7">
        <f t="shared" ref="G68:Q68" si="35">ROUND((G63+G64)*0.05,2)</f>
        <v>42.62</v>
      </c>
      <c r="H68" s="7"/>
      <c r="I68" s="7">
        <f t="shared" si="35"/>
        <v>42.62</v>
      </c>
      <c r="J68" s="7"/>
      <c r="K68" s="7">
        <f t="shared" si="35"/>
        <v>42.62</v>
      </c>
      <c r="L68" s="7"/>
      <c r="M68" s="7">
        <f t="shared" si="35"/>
        <v>42.62</v>
      </c>
      <c r="N68" s="7"/>
      <c r="O68" s="7">
        <f t="shared" si="35"/>
        <v>42.62</v>
      </c>
      <c r="P68" s="7"/>
      <c r="Q68" s="7">
        <f t="shared" si="35"/>
        <v>42.62</v>
      </c>
    </row>
    <row r="69" spans="1:17" ht="45" x14ac:dyDescent="0.25">
      <c r="A69" s="4"/>
      <c r="B69" s="4"/>
      <c r="C69" s="6" t="s">
        <v>12</v>
      </c>
      <c r="D69" s="4"/>
      <c r="E69" s="7">
        <f>ROUND(E63*0.4,2)</f>
        <v>272.77</v>
      </c>
      <c r="F69" s="7"/>
      <c r="G69" s="7">
        <f t="shared" ref="G69:Q69" si="36">ROUND(G63*0.4,2)</f>
        <v>262.27999999999997</v>
      </c>
      <c r="H69" s="7"/>
      <c r="I69" s="7">
        <f t="shared" si="36"/>
        <v>262.27999999999997</v>
      </c>
      <c r="J69" s="7"/>
      <c r="K69" s="7">
        <f t="shared" si="36"/>
        <v>262.27999999999997</v>
      </c>
      <c r="L69" s="7"/>
      <c r="M69" s="7">
        <f t="shared" si="36"/>
        <v>262.27999999999997</v>
      </c>
      <c r="N69" s="7"/>
      <c r="O69" s="7">
        <f t="shared" si="36"/>
        <v>262.27999999999997</v>
      </c>
      <c r="P69" s="7"/>
      <c r="Q69" s="7">
        <f t="shared" si="36"/>
        <v>262.27999999999997</v>
      </c>
    </row>
    <row r="70" spans="1:17" ht="52.5" customHeight="1" x14ac:dyDescent="0.25">
      <c r="A70" s="4"/>
      <c r="B70" s="4"/>
      <c r="C70" s="6" t="s">
        <v>54</v>
      </c>
      <c r="D70" s="4"/>
      <c r="E70" s="7">
        <f>ROUND(E63*0.2,2)</f>
        <v>136.38999999999999</v>
      </c>
      <c r="F70" s="7"/>
      <c r="G70" s="7">
        <f t="shared" ref="G70:Q70" si="37">ROUND(G63*0.2,2)</f>
        <v>131.13999999999999</v>
      </c>
      <c r="H70" s="7"/>
      <c r="I70" s="7">
        <f t="shared" si="37"/>
        <v>131.13999999999999</v>
      </c>
      <c r="J70" s="7"/>
      <c r="K70" s="7">
        <f t="shared" si="37"/>
        <v>131.13999999999999</v>
      </c>
      <c r="L70" s="7"/>
      <c r="M70" s="7">
        <f t="shared" si="37"/>
        <v>131.13999999999999</v>
      </c>
      <c r="N70" s="7"/>
      <c r="O70" s="7">
        <f t="shared" si="37"/>
        <v>131.13999999999999</v>
      </c>
      <c r="P70" s="7"/>
      <c r="Q70" s="7">
        <f t="shared" si="37"/>
        <v>131.13999999999999</v>
      </c>
    </row>
    <row r="71" spans="1:17" ht="30" x14ac:dyDescent="0.25">
      <c r="A71" s="4"/>
      <c r="B71" s="4"/>
      <c r="C71" s="6" t="s">
        <v>55</v>
      </c>
      <c r="D71" s="4"/>
      <c r="E71" s="7">
        <f>ROUND((E63+E64+F65+E66+E67+E68+E69+E70)*0.05,2)</f>
        <v>88.82</v>
      </c>
      <c r="F71" s="7"/>
      <c r="G71" s="7">
        <f t="shared" ref="G71:Q71" si="38">ROUND((G63+G64+H65+G66+G67+G68+G69+G70)*0.05,2)</f>
        <v>85.41</v>
      </c>
      <c r="H71" s="7"/>
      <c r="I71" s="7">
        <f t="shared" si="38"/>
        <v>85.41</v>
      </c>
      <c r="J71" s="7"/>
      <c r="K71" s="7">
        <f t="shared" si="38"/>
        <v>85.41</v>
      </c>
      <c r="L71" s="7"/>
      <c r="M71" s="7">
        <f t="shared" si="38"/>
        <v>85.41</v>
      </c>
      <c r="N71" s="7"/>
      <c r="O71" s="7">
        <f t="shared" si="38"/>
        <v>85.41</v>
      </c>
      <c r="P71" s="7"/>
      <c r="Q71" s="7">
        <f t="shared" si="38"/>
        <v>85.41</v>
      </c>
    </row>
    <row r="72" spans="1:17" x14ac:dyDescent="0.25">
      <c r="A72" s="4"/>
      <c r="B72" s="4"/>
      <c r="C72" s="4" t="s">
        <v>14</v>
      </c>
      <c r="D72" s="4"/>
      <c r="E72" s="3">
        <f>ROUND((E63+E64+E65+E66+E67+E68+E69+E70)*0.01,2)</f>
        <v>17.760000000000002</v>
      </c>
      <c r="F72" s="3"/>
      <c r="G72" s="3">
        <f t="shared" ref="G72:Q72" si="39">ROUND((G63+G64+G65+G66+G67+G68+G69+G70)*0.01,2)</f>
        <v>17.079999999999998</v>
      </c>
      <c r="H72" s="3"/>
      <c r="I72" s="3">
        <f t="shared" si="39"/>
        <v>17.079999999999998</v>
      </c>
      <c r="J72" s="3"/>
      <c r="K72" s="3">
        <f t="shared" si="39"/>
        <v>18.79</v>
      </c>
      <c r="L72" s="3"/>
      <c r="M72" s="3">
        <f t="shared" si="39"/>
        <v>17.079999999999998</v>
      </c>
      <c r="N72" s="3"/>
      <c r="O72" s="3">
        <f t="shared" si="39"/>
        <v>17.079999999999998</v>
      </c>
      <c r="P72" s="3"/>
      <c r="Q72" s="3">
        <f t="shared" si="39"/>
        <v>18.79</v>
      </c>
    </row>
    <row r="73" spans="1:17" ht="30" x14ac:dyDescent="0.25">
      <c r="A73" s="4"/>
      <c r="B73" s="4"/>
      <c r="C73" s="6" t="s">
        <v>15</v>
      </c>
      <c r="D73" s="4"/>
      <c r="E73" s="12">
        <f>ROUND((E63+E64+E65+E66+E67+E68+E69+E71+E72+E70)*0.302,2)</f>
        <v>568.66999999999996</v>
      </c>
      <c r="F73" s="12"/>
      <c r="G73" s="12">
        <f t="shared" ref="G73:Q73" si="40">ROUND((G63+G64+G65+G66+G67+G68+G69+G71+G72+G70)*0.302,2)</f>
        <v>546.79999999999995</v>
      </c>
      <c r="H73" s="12"/>
      <c r="I73" s="12">
        <f t="shared" si="40"/>
        <v>546.79999999999995</v>
      </c>
      <c r="J73" s="12"/>
      <c r="K73" s="12">
        <f t="shared" si="40"/>
        <v>598.79999999999995</v>
      </c>
      <c r="L73" s="12"/>
      <c r="M73" s="12">
        <f t="shared" si="40"/>
        <v>546.79999999999995</v>
      </c>
      <c r="N73" s="12"/>
      <c r="O73" s="12">
        <f t="shared" si="40"/>
        <v>546.79999999999995</v>
      </c>
      <c r="P73" s="12"/>
      <c r="Q73" s="12">
        <f t="shared" si="40"/>
        <v>598.79999999999995</v>
      </c>
    </row>
    <row r="74" spans="1:17" ht="30" x14ac:dyDescent="0.25">
      <c r="A74" s="4"/>
      <c r="B74" s="4"/>
      <c r="C74" s="6" t="s">
        <v>26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1" t="s">
        <v>16</v>
      </c>
      <c r="D75" s="4"/>
      <c r="E75" s="7">
        <f>E63+E64+E65+E66+E67+E68+E69+E71+E72+E73+E70</f>
        <v>2451.6799999999998</v>
      </c>
      <c r="F75" s="7"/>
      <c r="G75" s="7">
        <f t="shared" ref="G75:Q75" si="41">G63+G64+G65+G66+G67+G68+G69+G71+G72+G73+G70</f>
        <v>2357.39</v>
      </c>
      <c r="H75" s="7"/>
      <c r="I75" s="7">
        <f t="shared" si="41"/>
        <v>2357.39</v>
      </c>
      <c r="J75" s="7"/>
      <c r="K75" s="7">
        <f t="shared" si="41"/>
        <v>2581.58</v>
      </c>
      <c r="L75" s="7"/>
      <c r="M75" s="7">
        <f t="shared" si="41"/>
        <v>2357.39</v>
      </c>
      <c r="N75" s="7"/>
      <c r="O75" s="7">
        <f t="shared" si="41"/>
        <v>2357.39</v>
      </c>
      <c r="P75" s="7"/>
      <c r="Q75" s="7">
        <f t="shared" si="41"/>
        <v>2581.58</v>
      </c>
    </row>
    <row r="76" spans="1:17" x14ac:dyDescent="0.25">
      <c r="A76" s="4"/>
      <c r="B76" s="4"/>
      <c r="C76" s="11" t="s">
        <v>17</v>
      </c>
      <c r="D76" s="4"/>
      <c r="E76" s="7">
        <f>ROUND(E75*12,2)</f>
        <v>29420.16</v>
      </c>
      <c r="F76" s="5"/>
      <c r="G76" s="7">
        <f>ROUND(G75*12,2)</f>
        <v>28288.68</v>
      </c>
      <c r="H76" s="4"/>
      <c r="I76" s="7">
        <f>ROUND(I75*12,2)</f>
        <v>28288.68</v>
      </c>
      <c r="J76" s="18"/>
      <c r="K76" s="7">
        <f>ROUND(K75*12,2)</f>
        <v>30978.959999999999</v>
      </c>
      <c r="L76" s="18"/>
      <c r="M76" s="16">
        <f>ROUND(M75*12,2)</f>
        <v>28288.68</v>
      </c>
      <c r="N76" s="18"/>
      <c r="O76" s="16">
        <f>ROUND(O75*12,2)</f>
        <v>28288.68</v>
      </c>
      <c r="P76" s="18"/>
      <c r="Q76" s="7">
        <f>ROUND(Q75*12,2)</f>
        <v>30978.959999999999</v>
      </c>
    </row>
    <row r="77" spans="1:17" ht="30" x14ac:dyDescent="0.25">
      <c r="A77" s="3">
        <v>6</v>
      </c>
      <c r="B77" s="6" t="s">
        <v>7</v>
      </c>
      <c r="C77" s="6" t="s">
        <v>11</v>
      </c>
      <c r="D77" s="19">
        <v>1</v>
      </c>
      <c r="E77" s="7">
        <f>ROUND(5194*D77,0)</f>
        <v>5194</v>
      </c>
      <c r="F77" s="19">
        <v>1.25</v>
      </c>
      <c r="G77" s="7">
        <f>ROUND(5194*F77,0)</f>
        <v>6493</v>
      </c>
      <c r="H77" s="19">
        <v>1.25</v>
      </c>
      <c r="I77" s="7">
        <f>ROUND(5194*H77,0)</f>
        <v>6493</v>
      </c>
      <c r="J77" s="19">
        <v>1.25</v>
      </c>
      <c r="K77" s="7">
        <f>ROUND(5194*J77,0)</f>
        <v>6493</v>
      </c>
      <c r="L77" s="19">
        <v>1.5</v>
      </c>
      <c r="M77" s="7">
        <f>ROUND(5194*L77,0)</f>
        <v>7791</v>
      </c>
      <c r="N77" s="19">
        <v>1.25</v>
      </c>
      <c r="O77" s="7">
        <f>ROUND(5194*N77,0)</f>
        <v>6493</v>
      </c>
      <c r="P77" s="19">
        <v>1.25</v>
      </c>
      <c r="Q77" s="7">
        <f>ROUND(5194*P77,0)</f>
        <v>6493</v>
      </c>
    </row>
    <row r="78" spans="1:17" ht="30" x14ac:dyDescent="0.25">
      <c r="A78" s="3"/>
      <c r="B78" s="6"/>
      <c r="C78" s="6" t="s">
        <v>56</v>
      </c>
      <c r="D78" s="19"/>
      <c r="E78" s="7"/>
      <c r="F78" s="19"/>
      <c r="G78" s="7"/>
      <c r="H78" s="19"/>
      <c r="I78" s="7"/>
      <c r="J78" s="19"/>
      <c r="K78" s="7">
        <f>ROUND(K77*0.2,2)</f>
        <v>1298.5999999999999</v>
      </c>
      <c r="L78" s="19"/>
      <c r="M78" s="16"/>
      <c r="N78" s="19"/>
      <c r="O78" s="16"/>
      <c r="P78" s="19"/>
      <c r="Q78" s="7">
        <f>ROUND(Q77*0.2,2)</f>
        <v>1298.5999999999999</v>
      </c>
    </row>
    <row r="79" spans="1:17" ht="45" x14ac:dyDescent="0.25">
      <c r="A79" s="4"/>
      <c r="B79" s="4"/>
      <c r="C79" s="6" t="s">
        <v>57</v>
      </c>
      <c r="D79" s="4"/>
      <c r="E79" s="7">
        <f>ROUND(E77*0.3,0)</f>
        <v>1558</v>
      </c>
      <c r="F79" s="4"/>
      <c r="G79" s="7">
        <f>ROUND(G77*0.3,0)</f>
        <v>1948</v>
      </c>
      <c r="H79" s="4"/>
      <c r="I79" s="7">
        <f>ROUND(I77*0.3,0)</f>
        <v>1948</v>
      </c>
      <c r="J79" s="18"/>
      <c r="K79" s="7">
        <f>ROUND(K77*0.3,0)</f>
        <v>1948</v>
      </c>
      <c r="L79" s="18"/>
      <c r="M79" s="16">
        <f>ROUND(M77*0.3,0)</f>
        <v>2337</v>
      </c>
      <c r="N79" s="18"/>
      <c r="O79" s="16">
        <f>ROUND(O77*0.3,0)</f>
        <v>1948</v>
      </c>
      <c r="P79" s="18"/>
      <c r="Q79" s="7">
        <f>ROUND(Q77*0.3,0)</f>
        <v>1948</v>
      </c>
    </row>
    <row r="80" spans="1:17" ht="45" x14ac:dyDescent="0.25">
      <c r="A80" s="4"/>
      <c r="B80" s="4"/>
      <c r="C80" s="6" t="s">
        <v>12</v>
      </c>
      <c r="D80" s="4"/>
      <c r="E80" s="7">
        <f>ROUND((E77)*0.05,2)</f>
        <v>259.7</v>
      </c>
      <c r="F80" s="7"/>
      <c r="G80" s="7">
        <f t="shared" ref="G80:Q80" si="42">ROUND((G77)*0.05,2)</f>
        <v>324.64999999999998</v>
      </c>
      <c r="H80" s="7"/>
      <c r="I80" s="7">
        <f t="shared" si="42"/>
        <v>324.64999999999998</v>
      </c>
      <c r="J80" s="7"/>
      <c r="K80" s="7">
        <f t="shared" si="42"/>
        <v>324.64999999999998</v>
      </c>
      <c r="L80" s="7"/>
      <c r="M80" s="7">
        <f t="shared" si="42"/>
        <v>389.55</v>
      </c>
      <c r="N80" s="7"/>
      <c r="O80" s="7">
        <f t="shared" si="42"/>
        <v>324.64999999999998</v>
      </c>
      <c r="P80" s="7"/>
      <c r="Q80" s="7">
        <f t="shared" si="42"/>
        <v>324.64999999999998</v>
      </c>
    </row>
    <row r="81" spans="1:17" ht="30.75" customHeight="1" x14ac:dyDescent="0.25">
      <c r="A81" s="4"/>
      <c r="B81" s="4"/>
      <c r="C81" s="6" t="s">
        <v>37</v>
      </c>
      <c r="D81" s="4"/>
      <c r="E81" s="7">
        <f>ROUND(E77*0.2,2)</f>
        <v>1038.8</v>
      </c>
      <c r="F81" s="7"/>
      <c r="G81" s="7">
        <f t="shared" ref="G81:Q81" si="43">ROUND(G77*0.2,2)</f>
        <v>1298.5999999999999</v>
      </c>
      <c r="H81" s="7">
        <f t="shared" si="43"/>
        <v>0.25</v>
      </c>
      <c r="I81" s="7">
        <f t="shared" si="43"/>
        <v>1298.5999999999999</v>
      </c>
      <c r="J81" s="7"/>
      <c r="K81" s="7">
        <f t="shared" si="43"/>
        <v>1298.5999999999999</v>
      </c>
      <c r="L81" s="7"/>
      <c r="M81" s="7">
        <f t="shared" si="43"/>
        <v>1558.2</v>
      </c>
      <c r="N81" s="7"/>
      <c r="O81" s="7">
        <f t="shared" si="43"/>
        <v>1298.5999999999999</v>
      </c>
      <c r="P81" s="7"/>
      <c r="Q81" s="7">
        <f t="shared" si="43"/>
        <v>1298.5999999999999</v>
      </c>
    </row>
    <row r="82" spans="1:17" x14ac:dyDescent="0.25">
      <c r="A82" s="4"/>
      <c r="B82" s="4"/>
      <c r="C82" s="4" t="s">
        <v>13</v>
      </c>
      <c r="D82" s="4"/>
      <c r="E82" s="7">
        <f>ROUND((E77+E78+E79+E80+E81)*0.05,0)</f>
        <v>403</v>
      </c>
      <c r="F82" s="7"/>
      <c r="G82" s="7">
        <f t="shared" ref="G82:Q82" si="44">ROUND((G77+G78+G79+G80+G81)*0.05,0)</f>
        <v>503</v>
      </c>
      <c r="H82" s="7">
        <f t="shared" si="44"/>
        <v>0</v>
      </c>
      <c r="I82" s="7">
        <f t="shared" si="44"/>
        <v>503</v>
      </c>
      <c r="J82" s="7"/>
      <c r="K82" s="7">
        <f t="shared" si="44"/>
        <v>568</v>
      </c>
      <c r="L82" s="7"/>
      <c r="M82" s="7">
        <f t="shared" si="44"/>
        <v>604</v>
      </c>
      <c r="N82" s="7"/>
      <c r="O82" s="7">
        <f t="shared" si="44"/>
        <v>503</v>
      </c>
      <c r="P82" s="7"/>
      <c r="Q82" s="7">
        <f t="shared" si="44"/>
        <v>568</v>
      </c>
    </row>
    <row r="83" spans="1:17" x14ac:dyDescent="0.25">
      <c r="A83" s="4"/>
      <c r="B83" s="4"/>
      <c r="C83" s="4" t="s">
        <v>14</v>
      </c>
      <c r="D83" s="4"/>
      <c r="E83" s="7">
        <f>ROUND((E77+E78+E79+E80+E81)*0.01,2)</f>
        <v>80.510000000000005</v>
      </c>
      <c r="F83" s="7"/>
      <c r="G83" s="7">
        <f t="shared" ref="G83:Q83" si="45">ROUND((G77+G78+G79+G80+G81)*0.01,2)</f>
        <v>100.64</v>
      </c>
      <c r="H83" s="7">
        <f t="shared" si="45"/>
        <v>0.02</v>
      </c>
      <c r="I83" s="7">
        <f t="shared" si="45"/>
        <v>100.64</v>
      </c>
      <c r="J83" s="7"/>
      <c r="K83" s="7">
        <f t="shared" si="45"/>
        <v>113.63</v>
      </c>
      <c r="L83" s="7"/>
      <c r="M83" s="7">
        <f t="shared" si="45"/>
        <v>120.76</v>
      </c>
      <c r="N83" s="7"/>
      <c r="O83" s="7">
        <f t="shared" si="45"/>
        <v>100.64</v>
      </c>
      <c r="P83" s="7"/>
      <c r="Q83" s="7">
        <f t="shared" si="45"/>
        <v>113.63</v>
      </c>
    </row>
    <row r="84" spans="1:17" x14ac:dyDescent="0.25">
      <c r="A84" s="4"/>
      <c r="B84" s="4"/>
      <c r="C84" s="4" t="s">
        <v>35</v>
      </c>
      <c r="D84" s="4"/>
      <c r="E84" s="7">
        <f>ROUND((9489-(E77+E78+E79+E80+E82+E81)/D77)*D77,2)</f>
        <v>1035.5</v>
      </c>
      <c r="F84" s="7"/>
      <c r="G84" s="7">
        <f t="shared" ref="G84:Q84" si="46">ROUND((9489-(G77+G78+G79+G80+G82+G81)/F77)*F77,2)</f>
        <v>1294</v>
      </c>
      <c r="H84" s="7">
        <f t="shared" si="46"/>
        <v>61612075.5</v>
      </c>
      <c r="I84" s="7">
        <f t="shared" si="46"/>
        <v>1294</v>
      </c>
      <c r="J84" s="7"/>
      <c r="K84" s="7">
        <f t="shared" si="46"/>
        <v>-69.599999999999994</v>
      </c>
      <c r="L84" s="7"/>
      <c r="M84" s="7">
        <f t="shared" si="46"/>
        <v>1553.75</v>
      </c>
      <c r="N84" s="7"/>
      <c r="O84" s="7">
        <f t="shared" si="46"/>
        <v>1294</v>
      </c>
      <c r="P84" s="7"/>
      <c r="Q84" s="7">
        <f t="shared" si="46"/>
        <v>-69.599999999999994</v>
      </c>
    </row>
    <row r="85" spans="1:17" x14ac:dyDescent="0.25">
      <c r="A85" s="4"/>
      <c r="B85" s="4"/>
      <c r="C85" s="4" t="s">
        <v>36</v>
      </c>
      <c r="D85" s="4"/>
      <c r="E85" s="7">
        <f>ROUND(9489/29.3*28*D77/365*28,2)</f>
        <v>695.63</v>
      </c>
      <c r="F85" s="7"/>
      <c r="G85" s="7">
        <f t="shared" ref="G85:Q85" si="47">ROUND(9489/29.3*28*F77/365*28,2)</f>
        <v>869.53</v>
      </c>
      <c r="H85" s="7">
        <f t="shared" si="47"/>
        <v>4516701.8899999997</v>
      </c>
      <c r="I85" s="7">
        <f t="shared" si="47"/>
        <v>869.53</v>
      </c>
      <c r="J85" s="7"/>
      <c r="K85" s="7">
        <f t="shared" si="47"/>
        <v>869.53</v>
      </c>
      <c r="L85" s="7"/>
      <c r="M85" s="7">
        <f t="shared" si="47"/>
        <v>1043.44</v>
      </c>
      <c r="N85" s="7"/>
      <c r="O85" s="7">
        <f t="shared" si="47"/>
        <v>869.53</v>
      </c>
      <c r="P85" s="7"/>
      <c r="Q85" s="7">
        <f t="shared" si="47"/>
        <v>869.53</v>
      </c>
    </row>
    <row r="86" spans="1:17" ht="30" x14ac:dyDescent="0.25">
      <c r="A86" s="4"/>
      <c r="B86" s="4"/>
      <c r="C86" s="6" t="s">
        <v>15</v>
      </c>
      <c r="D86" s="4"/>
      <c r="E86" s="7">
        <f>ROUND((E77+E78+E79+E80+E82+E83+E84+E85+E81)*0.302,0)</f>
        <v>3100</v>
      </c>
      <c r="F86" s="7"/>
      <c r="G86" s="7">
        <f t="shared" ref="G86:Q86" si="48">ROUND((G77+G78+G79+G80+G82+G83+G84+G85+G81)*0.302,0)</f>
        <v>3875</v>
      </c>
      <c r="H86" s="7">
        <f t="shared" si="48"/>
        <v>19970891</v>
      </c>
      <c r="I86" s="7">
        <f t="shared" si="48"/>
        <v>3875</v>
      </c>
      <c r="J86" s="7"/>
      <c r="K86" s="7">
        <f t="shared" si="48"/>
        <v>3879</v>
      </c>
      <c r="L86" s="7"/>
      <c r="M86" s="7">
        <f t="shared" si="48"/>
        <v>4650</v>
      </c>
      <c r="N86" s="7"/>
      <c r="O86" s="7">
        <f t="shared" si="48"/>
        <v>3875</v>
      </c>
      <c r="P86" s="7"/>
      <c r="Q86" s="7">
        <f t="shared" si="48"/>
        <v>3879</v>
      </c>
    </row>
    <row r="87" spans="1:17" ht="30" x14ac:dyDescent="0.25">
      <c r="A87" s="4"/>
      <c r="B87" s="4"/>
      <c r="C87" s="6" t="s">
        <v>27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1" t="s">
        <v>16</v>
      </c>
      <c r="D88" s="4"/>
      <c r="E88" s="7">
        <f>E77+E78+E79+E80+E82+E83+E86+E84+E85+E81</f>
        <v>13365.139999999998</v>
      </c>
      <c r="F88" s="7"/>
      <c r="G88" s="7">
        <f t="shared" ref="G88:Q88" si="49">G77+G78+G79+G80+G82+G83+G86+G84+G85+G81</f>
        <v>16706.419999999998</v>
      </c>
      <c r="H88" s="7">
        <f t="shared" si="49"/>
        <v>86099669.909999996</v>
      </c>
      <c r="I88" s="7">
        <f t="shared" si="49"/>
        <v>16706.419999999998</v>
      </c>
      <c r="J88" s="7"/>
      <c r="K88" s="7">
        <f t="shared" si="49"/>
        <v>16723.41</v>
      </c>
      <c r="L88" s="7"/>
      <c r="M88" s="7">
        <f t="shared" si="49"/>
        <v>20047.699999999997</v>
      </c>
      <c r="N88" s="7"/>
      <c r="O88" s="7">
        <f t="shared" si="49"/>
        <v>16706.419999999998</v>
      </c>
      <c r="P88" s="7"/>
      <c r="Q88" s="7">
        <f t="shared" si="49"/>
        <v>16723.41</v>
      </c>
    </row>
    <row r="89" spans="1:17" x14ac:dyDescent="0.25">
      <c r="A89" s="4"/>
      <c r="B89" s="4"/>
      <c r="C89" s="11" t="s">
        <v>17</v>
      </c>
      <c r="D89" s="4"/>
      <c r="E89" s="7">
        <f>ROUND(E88*12,0)</f>
        <v>160382</v>
      </c>
      <c r="F89" s="4"/>
      <c r="G89" s="7">
        <f>ROUND(G88*12,0)</f>
        <v>200477</v>
      </c>
      <c r="H89" s="4"/>
      <c r="I89" s="7">
        <f>ROUND(I88*12,0)</f>
        <v>200477</v>
      </c>
      <c r="J89" s="18"/>
      <c r="K89" s="7">
        <f>ROUND(K88*12,0)</f>
        <v>200681</v>
      </c>
      <c r="L89" s="18"/>
      <c r="M89" s="16">
        <f>ROUND(M88*12,0)</f>
        <v>240572</v>
      </c>
      <c r="N89" s="18"/>
      <c r="O89" s="16">
        <f>ROUND(O88*12,0)</f>
        <v>200477</v>
      </c>
      <c r="P89" s="18"/>
      <c r="Q89" s="7">
        <f>ROUND(Q88*12,0)</f>
        <v>200681</v>
      </c>
    </row>
    <row r="90" spans="1:17" ht="45.75" customHeight="1" x14ac:dyDescent="0.25">
      <c r="A90" s="3">
        <v>7</v>
      </c>
      <c r="B90" s="6" t="s">
        <v>39</v>
      </c>
      <c r="C90" s="6" t="s">
        <v>40</v>
      </c>
      <c r="D90" s="19">
        <v>1</v>
      </c>
      <c r="E90" s="7">
        <f>ROUND(3880*D90,0)</f>
        <v>3880</v>
      </c>
      <c r="F90" s="19">
        <v>1</v>
      </c>
      <c r="G90" s="7">
        <f>ROUND(3880*F90,0)</f>
        <v>3880</v>
      </c>
      <c r="H90" s="19">
        <v>1</v>
      </c>
      <c r="I90" s="7">
        <f>ROUND(3880*H90,0)</f>
        <v>3880</v>
      </c>
      <c r="J90" s="19">
        <v>1</v>
      </c>
      <c r="K90" s="7">
        <f>ROUND(3880*J90,0)</f>
        <v>3880</v>
      </c>
      <c r="L90" s="19">
        <v>1</v>
      </c>
      <c r="M90" s="7">
        <f>ROUND(3880*L90,0)</f>
        <v>3880</v>
      </c>
      <c r="N90" s="19">
        <v>1</v>
      </c>
      <c r="O90" s="7">
        <f>ROUND(3880*N90,0)</f>
        <v>3880</v>
      </c>
      <c r="P90" s="19">
        <v>1</v>
      </c>
      <c r="Q90" s="7">
        <f>ROUND(3880*P90,0)</f>
        <v>3880</v>
      </c>
    </row>
    <row r="91" spans="1:17" ht="45" x14ac:dyDescent="0.25">
      <c r="A91" s="4"/>
      <c r="B91" s="4"/>
      <c r="C91" s="6" t="s">
        <v>12</v>
      </c>
      <c r="D91" s="4"/>
      <c r="E91" s="7">
        <f>ROUND((E90)*0.05,2)</f>
        <v>194</v>
      </c>
      <c r="F91" s="7"/>
      <c r="G91" s="7">
        <f t="shared" ref="G91:Q91" si="50">ROUND((G90)*0.05,2)</f>
        <v>194</v>
      </c>
      <c r="H91" s="7"/>
      <c r="I91" s="7">
        <f t="shared" si="50"/>
        <v>194</v>
      </c>
      <c r="J91" s="7"/>
      <c r="K91" s="7">
        <f t="shared" si="50"/>
        <v>194</v>
      </c>
      <c r="L91" s="7"/>
      <c r="M91" s="7">
        <f t="shared" si="50"/>
        <v>194</v>
      </c>
      <c r="N91" s="7"/>
      <c r="O91" s="7">
        <f t="shared" si="50"/>
        <v>194</v>
      </c>
      <c r="P91" s="7"/>
      <c r="Q91" s="7">
        <f t="shared" si="50"/>
        <v>194</v>
      </c>
    </row>
    <row r="92" spans="1:17" ht="30.75" customHeight="1" x14ac:dyDescent="0.25">
      <c r="A92" s="4"/>
      <c r="B92" s="4"/>
      <c r="C92" s="6" t="s">
        <v>41</v>
      </c>
      <c r="D92" s="4"/>
      <c r="E92" s="7">
        <f>ROUND(E90*0.2,2)</f>
        <v>776</v>
      </c>
      <c r="F92" s="7"/>
      <c r="G92" s="7">
        <f t="shared" ref="G92:Q92" si="51">ROUND(G90*0.2,2)</f>
        <v>776</v>
      </c>
      <c r="H92" s="7"/>
      <c r="I92" s="7">
        <f t="shared" si="51"/>
        <v>776</v>
      </c>
      <c r="J92" s="7"/>
      <c r="K92" s="7">
        <f t="shared" si="51"/>
        <v>776</v>
      </c>
      <c r="L92" s="7"/>
      <c r="M92" s="7">
        <f t="shared" si="51"/>
        <v>776</v>
      </c>
      <c r="N92" s="7"/>
      <c r="O92" s="7">
        <f t="shared" si="51"/>
        <v>776</v>
      </c>
      <c r="P92" s="7"/>
      <c r="Q92" s="7">
        <f t="shared" si="51"/>
        <v>776</v>
      </c>
    </row>
    <row r="93" spans="1:17" x14ac:dyDescent="0.25">
      <c r="A93" s="4"/>
      <c r="B93" s="4"/>
      <c r="C93" s="4" t="s">
        <v>13</v>
      </c>
      <c r="D93" s="4"/>
      <c r="E93" s="7">
        <f>ROUND((E90+E91+E92)*0.05,0)</f>
        <v>243</v>
      </c>
      <c r="F93" s="7"/>
      <c r="G93" s="7">
        <f t="shared" ref="G93:Q93" si="52">ROUND((G90+G91+G92)*0.05,0)</f>
        <v>243</v>
      </c>
      <c r="H93" s="7"/>
      <c r="I93" s="7">
        <f t="shared" si="52"/>
        <v>243</v>
      </c>
      <c r="J93" s="7"/>
      <c r="K93" s="7">
        <f t="shared" si="52"/>
        <v>243</v>
      </c>
      <c r="L93" s="7"/>
      <c r="M93" s="7">
        <f t="shared" si="52"/>
        <v>243</v>
      </c>
      <c r="N93" s="7"/>
      <c r="O93" s="7">
        <f t="shared" si="52"/>
        <v>243</v>
      </c>
      <c r="P93" s="7"/>
      <c r="Q93" s="7">
        <f t="shared" si="52"/>
        <v>243</v>
      </c>
    </row>
    <row r="94" spans="1:17" x14ac:dyDescent="0.25">
      <c r="A94" s="4"/>
      <c r="B94" s="4"/>
      <c r="C94" s="4" t="s">
        <v>14</v>
      </c>
      <c r="D94" s="4"/>
      <c r="E94" s="7">
        <f>ROUND((E90+E91+E92)*0.01,2)</f>
        <v>48.5</v>
      </c>
      <c r="F94" s="7"/>
      <c r="G94" s="7">
        <f t="shared" ref="G94:Q94" si="53">ROUND((G90+G91+G92)*0.01,2)</f>
        <v>48.5</v>
      </c>
      <c r="H94" s="7"/>
      <c r="I94" s="7">
        <f t="shared" si="53"/>
        <v>48.5</v>
      </c>
      <c r="J94" s="7"/>
      <c r="K94" s="7">
        <f t="shared" si="53"/>
        <v>48.5</v>
      </c>
      <c r="L94" s="7"/>
      <c r="M94" s="7">
        <f t="shared" si="53"/>
        <v>48.5</v>
      </c>
      <c r="N94" s="7"/>
      <c r="O94" s="7">
        <f t="shared" si="53"/>
        <v>48.5</v>
      </c>
      <c r="P94" s="7"/>
      <c r="Q94" s="7">
        <f t="shared" si="53"/>
        <v>48.5</v>
      </c>
    </row>
    <row r="95" spans="1:17" x14ac:dyDescent="0.25">
      <c r="A95" s="4"/>
      <c r="B95" s="4"/>
      <c r="C95" s="4" t="s">
        <v>35</v>
      </c>
      <c r="D95" s="4"/>
      <c r="E95" s="7">
        <f>ROUND((9489-(E90+E91+E93+E92)/D90)*D90,2)</f>
        <v>4396</v>
      </c>
      <c r="F95" s="7"/>
      <c r="G95" s="7">
        <f t="shared" ref="G95:Q95" si="54">ROUND((9489-(G90+G91+G93+G92)/F90)*F90,2)</f>
        <v>4396</v>
      </c>
      <c r="H95" s="7"/>
      <c r="I95" s="7">
        <f t="shared" si="54"/>
        <v>4396</v>
      </c>
      <c r="J95" s="7"/>
      <c r="K95" s="7">
        <f t="shared" si="54"/>
        <v>4396</v>
      </c>
      <c r="L95" s="7"/>
      <c r="M95" s="7">
        <f t="shared" si="54"/>
        <v>4396</v>
      </c>
      <c r="N95" s="7"/>
      <c r="O95" s="7">
        <f t="shared" si="54"/>
        <v>4396</v>
      </c>
      <c r="P95" s="7"/>
      <c r="Q95" s="7">
        <f t="shared" si="54"/>
        <v>4396</v>
      </c>
    </row>
    <row r="96" spans="1:17" x14ac:dyDescent="0.25">
      <c r="A96" s="4"/>
      <c r="B96" s="4"/>
      <c r="C96" s="4" t="s">
        <v>36</v>
      </c>
      <c r="D96" s="4"/>
      <c r="E96" s="7">
        <f>ROUND(9489/29.3*28*D90/365*28,2)</f>
        <v>695.63</v>
      </c>
      <c r="F96" s="7"/>
      <c r="G96" s="7">
        <f t="shared" ref="G96:Q96" si="55">ROUND(9489/29.3*28*F90/365*28,2)</f>
        <v>695.63</v>
      </c>
      <c r="H96" s="7"/>
      <c r="I96" s="7">
        <f t="shared" si="55"/>
        <v>695.63</v>
      </c>
      <c r="J96" s="7"/>
      <c r="K96" s="7">
        <f t="shared" si="55"/>
        <v>695.63</v>
      </c>
      <c r="L96" s="7"/>
      <c r="M96" s="7">
        <f t="shared" si="55"/>
        <v>695.63</v>
      </c>
      <c r="N96" s="7"/>
      <c r="O96" s="7">
        <f t="shared" si="55"/>
        <v>695.63</v>
      </c>
      <c r="P96" s="7"/>
      <c r="Q96" s="7">
        <f t="shared" si="55"/>
        <v>695.63</v>
      </c>
    </row>
    <row r="97" spans="1:19" ht="30" x14ac:dyDescent="0.25">
      <c r="A97" s="4"/>
      <c r="B97" s="4"/>
      <c r="C97" s="6" t="s">
        <v>15</v>
      </c>
      <c r="D97" s="4"/>
      <c r="E97" s="7">
        <f>ROUND((E90+E91+E93+E94+E95+E96+E92)*0.302,0)</f>
        <v>3090</v>
      </c>
      <c r="F97" s="7"/>
      <c r="G97" s="7">
        <f t="shared" ref="G97:Q97" si="56">ROUND((G90+G91+G93+G94+G95+G96+G92)*0.302,0)</f>
        <v>3090</v>
      </c>
      <c r="H97" s="7"/>
      <c r="I97" s="7">
        <f t="shared" si="56"/>
        <v>3090</v>
      </c>
      <c r="J97" s="7"/>
      <c r="K97" s="7">
        <f t="shared" si="56"/>
        <v>3090</v>
      </c>
      <c r="L97" s="7"/>
      <c r="M97" s="7">
        <f t="shared" si="56"/>
        <v>3090</v>
      </c>
      <c r="N97" s="7"/>
      <c r="O97" s="7">
        <f t="shared" si="56"/>
        <v>3090</v>
      </c>
      <c r="P97" s="7"/>
      <c r="Q97" s="7">
        <f t="shared" si="56"/>
        <v>3090</v>
      </c>
    </row>
    <row r="98" spans="1:19" ht="30" x14ac:dyDescent="0.25">
      <c r="A98" s="4"/>
      <c r="B98" s="4"/>
      <c r="C98" s="6" t="s">
        <v>42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1" t="s">
        <v>16</v>
      </c>
      <c r="D99" s="4"/>
      <c r="E99" s="7">
        <f>E90+E91+E93+E94+E97+E95+E96+E92</f>
        <v>13323.13</v>
      </c>
      <c r="F99" s="7"/>
      <c r="G99" s="7">
        <f t="shared" ref="G99:Q99" si="57">G90+G91+G93+G94+G97+G95+G96+G92</f>
        <v>13323.13</v>
      </c>
      <c r="H99" s="7"/>
      <c r="I99" s="7">
        <f t="shared" si="57"/>
        <v>13323.13</v>
      </c>
      <c r="J99" s="7"/>
      <c r="K99" s="7">
        <f t="shared" si="57"/>
        <v>13323.13</v>
      </c>
      <c r="L99" s="7"/>
      <c r="M99" s="7">
        <f t="shared" si="57"/>
        <v>13323.13</v>
      </c>
      <c r="N99" s="7"/>
      <c r="O99" s="7">
        <f t="shared" si="57"/>
        <v>13323.13</v>
      </c>
      <c r="P99" s="7"/>
      <c r="Q99" s="7">
        <f t="shared" si="57"/>
        <v>13323.13</v>
      </c>
    </row>
    <row r="100" spans="1:19" x14ac:dyDescent="0.25">
      <c r="A100" s="4"/>
      <c r="B100" s="4"/>
      <c r="C100" s="11" t="s">
        <v>17</v>
      </c>
      <c r="D100" s="4"/>
      <c r="E100" s="7">
        <f>ROUND(E99*12,0)</f>
        <v>159878</v>
      </c>
      <c r="F100" s="7"/>
      <c r="G100" s="7">
        <f t="shared" ref="G100:Q100" si="58">ROUND(G99*12,0)</f>
        <v>159878</v>
      </c>
      <c r="H100" s="7"/>
      <c r="I100" s="7">
        <f t="shared" si="58"/>
        <v>159878</v>
      </c>
      <c r="J100" s="7"/>
      <c r="K100" s="7">
        <f t="shared" si="58"/>
        <v>159878</v>
      </c>
      <c r="L100" s="7"/>
      <c r="M100" s="7">
        <f t="shared" si="58"/>
        <v>159878</v>
      </c>
      <c r="N100" s="7"/>
      <c r="O100" s="7">
        <f t="shared" si="58"/>
        <v>159878</v>
      </c>
      <c r="P100" s="7"/>
      <c r="Q100" s="7">
        <f t="shared" si="58"/>
        <v>159878</v>
      </c>
    </row>
    <row r="101" spans="1:19" ht="19.5" customHeight="1" x14ac:dyDescent="0.25">
      <c r="A101" s="4"/>
      <c r="B101" s="62" t="s">
        <v>32</v>
      </c>
      <c r="C101" s="63"/>
      <c r="D101" s="4"/>
      <c r="E101" s="4"/>
      <c r="F101" s="4"/>
      <c r="G101" s="4"/>
      <c r="H101" s="4"/>
      <c r="I101" s="4"/>
      <c r="J101" s="4"/>
      <c r="K101" s="4"/>
      <c r="L101" s="4"/>
      <c r="M101" s="18"/>
      <c r="N101" s="18"/>
      <c r="O101" s="18"/>
      <c r="P101" s="4"/>
      <c r="Q101" s="4"/>
    </row>
    <row r="102" spans="1:19" ht="36.75" customHeight="1" x14ac:dyDescent="0.25">
      <c r="A102" s="4"/>
      <c r="B102" s="6"/>
      <c r="C102" s="6" t="s">
        <v>61</v>
      </c>
      <c r="D102" s="7"/>
      <c r="E102" s="7">
        <f>ROUND((E19+E34+E48+E62+E76+E89+E100)*0.192,2)</f>
        <v>185344.23</v>
      </c>
      <c r="F102" s="7"/>
      <c r="G102" s="7">
        <f t="shared" ref="G102:Q102" si="59">ROUND((G19+G34+G48+G62+G76+G89+G100)*0.192,2)</f>
        <v>195729.44</v>
      </c>
      <c r="H102" s="7"/>
      <c r="I102" s="7">
        <f t="shared" si="59"/>
        <v>203465.1</v>
      </c>
      <c r="J102" s="7"/>
      <c r="K102" s="7">
        <f t="shared" si="59"/>
        <v>350115.11</v>
      </c>
      <c r="L102" s="7"/>
      <c r="M102" s="7">
        <f t="shared" si="59"/>
        <v>249787.04</v>
      </c>
      <c r="N102" s="7"/>
      <c r="O102" s="7">
        <f t="shared" si="59"/>
        <v>249824.46</v>
      </c>
      <c r="P102" s="7"/>
      <c r="Q102" s="7">
        <f t="shared" si="59"/>
        <v>387141.7</v>
      </c>
    </row>
    <row r="103" spans="1:19" ht="64.5" customHeight="1" x14ac:dyDescent="0.25">
      <c r="A103" s="4"/>
      <c r="B103" s="47" t="s">
        <v>34</v>
      </c>
      <c r="C103" s="4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63</v>
      </c>
      <c r="D104" s="7"/>
      <c r="E104" s="7">
        <f>ROUND((E19+E34+E48+E62+E76+E89+E100)*0.028,2)</f>
        <v>27029.37</v>
      </c>
      <c r="F104" s="7"/>
      <c r="G104" s="7">
        <f t="shared" ref="G104:Q104" si="60">ROUND((G19+G34+G48+G62+G76+G89+G100)*0.028,2)</f>
        <v>28543.88</v>
      </c>
      <c r="H104" s="7"/>
      <c r="I104" s="7">
        <f t="shared" si="60"/>
        <v>29671.99</v>
      </c>
      <c r="J104" s="7"/>
      <c r="K104" s="7">
        <f t="shared" si="60"/>
        <v>51058.45</v>
      </c>
      <c r="L104" s="7"/>
      <c r="M104" s="7">
        <f t="shared" si="60"/>
        <v>36427.279999999999</v>
      </c>
      <c r="N104" s="7"/>
      <c r="O104" s="7">
        <f t="shared" si="60"/>
        <v>36432.730000000003</v>
      </c>
      <c r="P104" s="7"/>
      <c r="Q104" s="7">
        <f t="shared" si="60"/>
        <v>56458.17</v>
      </c>
    </row>
    <row r="105" spans="1:19" ht="66.75" customHeight="1" x14ac:dyDescent="0.25">
      <c r="A105" s="4"/>
      <c r="B105" s="47" t="s">
        <v>38</v>
      </c>
      <c r="C105" s="4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62</v>
      </c>
      <c r="D106" s="7"/>
      <c r="E106" s="7">
        <f>ROUND((E19+E34+E48+E62+E76+E89+E100)*0.038,2)</f>
        <v>36682.71</v>
      </c>
      <c r="F106" s="7"/>
      <c r="G106" s="7">
        <f t="shared" ref="G106:Q106" si="61">ROUND((G19+G34+G48+G62+G76+G89+G100)*0.038,2)</f>
        <v>38738.120000000003</v>
      </c>
      <c r="H106" s="7"/>
      <c r="I106" s="7">
        <f t="shared" si="61"/>
        <v>40269.129999999997</v>
      </c>
      <c r="J106" s="7"/>
      <c r="K106" s="7">
        <f t="shared" si="61"/>
        <v>69293.62</v>
      </c>
      <c r="L106" s="7"/>
      <c r="M106" s="7">
        <f t="shared" si="61"/>
        <v>49437.02</v>
      </c>
      <c r="N106" s="7"/>
      <c r="O106" s="7">
        <f t="shared" si="61"/>
        <v>49444.42</v>
      </c>
      <c r="P106" s="7"/>
      <c r="Q106" s="7">
        <f t="shared" si="61"/>
        <v>76621.8</v>
      </c>
    </row>
    <row r="107" spans="1:19" ht="68.25" customHeight="1" x14ac:dyDescent="0.25">
      <c r="A107" s="4"/>
      <c r="B107" s="47" t="s">
        <v>33</v>
      </c>
      <c r="C107" s="48"/>
      <c r="D107" s="4"/>
      <c r="E107" s="23">
        <f>E19+E34+E48+E62+E76+E89+E100+E102+E104+E106</f>
        <v>1214390.83</v>
      </c>
      <c r="F107" s="23"/>
      <c r="G107" s="23">
        <f t="shared" ref="G107:Q107" si="62">G19+G34+G48+G62+G76+G89+G100+G102+G104+G106</f>
        <v>1282435.6000000001</v>
      </c>
      <c r="H107" s="23"/>
      <c r="I107" s="23">
        <f t="shared" si="62"/>
        <v>1333120.26</v>
      </c>
      <c r="J107" s="23"/>
      <c r="K107" s="23">
        <f t="shared" si="62"/>
        <v>2293983.3800000004</v>
      </c>
      <c r="L107" s="23"/>
      <c r="M107" s="23">
        <f t="shared" si="62"/>
        <v>1636625.5000000002</v>
      </c>
      <c r="N107" s="23"/>
      <c r="O107" s="23">
        <f t="shared" si="62"/>
        <v>1636870.65</v>
      </c>
      <c r="P107" s="23"/>
      <c r="Q107" s="23">
        <f t="shared" si="62"/>
        <v>2536584.7099999995</v>
      </c>
    </row>
    <row r="108" spans="1:19" ht="22.5" customHeight="1" x14ac:dyDescent="0.25">
      <c r="A108" s="4"/>
      <c r="B108" s="57"/>
      <c r="C108" s="5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6"/>
      <c r="O108" s="7"/>
      <c r="P108" s="4"/>
      <c r="Q108" s="7"/>
    </row>
    <row r="109" spans="1:19" ht="35.25" customHeight="1" x14ac:dyDescent="0.25">
      <c r="A109" s="4"/>
      <c r="B109" s="47" t="s">
        <v>44</v>
      </c>
      <c r="C109" s="48"/>
      <c r="D109" s="26">
        <v>25</v>
      </c>
      <c r="E109" s="5">
        <f>ROUND(E107/D109,0)</f>
        <v>48576</v>
      </c>
      <c r="F109" s="26">
        <v>20</v>
      </c>
      <c r="G109" s="5">
        <f>ROUND(G107/F109,0)</f>
        <v>64122</v>
      </c>
      <c r="H109" s="26">
        <v>25</v>
      </c>
      <c r="I109" s="5">
        <f>ROUND(I107/H109,0)</f>
        <v>53325</v>
      </c>
      <c r="J109" s="26">
        <v>15</v>
      </c>
      <c r="K109" s="5">
        <f>ROUND(K107/J109,0)</f>
        <v>152932</v>
      </c>
      <c r="L109" s="26">
        <v>20</v>
      </c>
      <c r="M109" s="5">
        <f>ROUND(M107/L109,0)</f>
        <v>81831</v>
      </c>
      <c r="N109" s="27">
        <v>25</v>
      </c>
      <c r="O109" s="5">
        <f>ROUND(O107/N109,0)</f>
        <v>65475</v>
      </c>
      <c r="P109" s="27">
        <v>15</v>
      </c>
      <c r="Q109" s="5">
        <f>ROUND(Q107/P109,0)</f>
        <v>169106</v>
      </c>
      <c r="R109" s="28"/>
      <c r="S109" s="29"/>
    </row>
    <row r="110" spans="1:19" ht="46.5" customHeight="1" x14ac:dyDescent="0.25">
      <c r="A110" s="4"/>
      <c r="B110" s="47" t="s">
        <v>64</v>
      </c>
      <c r="C110" s="48"/>
      <c r="D110" s="4"/>
      <c r="E110" s="45">
        <v>45659</v>
      </c>
      <c r="F110" s="4"/>
      <c r="G110" s="45">
        <v>45659</v>
      </c>
      <c r="H110" s="4"/>
      <c r="I110" s="45">
        <v>45659</v>
      </c>
      <c r="J110" s="4"/>
      <c r="K110" s="45">
        <v>45659</v>
      </c>
      <c r="L110" s="4"/>
      <c r="M110" s="45">
        <v>45659</v>
      </c>
      <c r="N110" s="18"/>
      <c r="O110" s="45">
        <v>45659</v>
      </c>
      <c r="P110" s="4"/>
      <c r="Q110" s="45">
        <v>45659</v>
      </c>
    </row>
    <row r="111" spans="1:19" ht="96" customHeight="1" x14ac:dyDescent="0.25">
      <c r="A111" s="4"/>
      <c r="B111" s="54" t="s">
        <v>66</v>
      </c>
      <c r="C111" s="55"/>
      <c r="D111" s="4"/>
      <c r="E111" s="3">
        <f>ROUND(E109/E110,3)</f>
        <v>1.0640000000000001</v>
      </c>
      <c r="F111" s="4"/>
      <c r="G111" s="3">
        <f>ROUND(G109/G110,3)</f>
        <v>1.4039999999999999</v>
      </c>
      <c r="H111" s="4"/>
      <c r="I111" s="3">
        <f>ROUND(I109/I110,3)</f>
        <v>1.1679999999999999</v>
      </c>
      <c r="J111" s="4"/>
      <c r="K111" s="3">
        <f>ROUND(K109/K110,3)</f>
        <v>3.3490000000000002</v>
      </c>
      <c r="L111" s="4"/>
      <c r="M111" s="3">
        <f>ROUND(M109/M110,3)</f>
        <v>1.792</v>
      </c>
      <c r="N111" s="18"/>
      <c r="O111" s="3">
        <f>ROUND(O109/O110,3)</f>
        <v>1.4339999999999999</v>
      </c>
      <c r="P111" s="4"/>
      <c r="Q111" s="3">
        <f>ROUND(Q109/Q110,3)</f>
        <v>3.7040000000000002</v>
      </c>
    </row>
    <row r="112" spans="1:19" ht="71.25" customHeight="1" x14ac:dyDescent="0.25">
      <c r="A112" s="4"/>
      <c r="B112" s="47" t="s">
        <v>65</v>
      </c>
      <c r="C112" s="48"/>
      <c r="D112" s="4"/>
      <c r="E112" s="46">
        <v>4500</v>
      </c>
      <c r="F112" s="4"/>
      <c r="G112" s="46">
        <v>4500</v>
      </c>
      <c r="H112" s="4"/>
      <c r="I112" s="46">
        <v>4500</v>
      </c>
      <c r="J112" s="4"/>
      <c r="K112" s="46">
        <v>4500</v>
      </c>
      <c r="L112" s="4"/>
      <c r="M112" s="46">
        <v>4500</v>
      </c>
      <c r="N112" s="18"/>
      <c r="O112" s="46">
        <v>4500</v>
      </c>
      <c r="P112" s="4"/>
      <c r="Q112" s="46">
        <v>4500</v>
      </c>
    </row>
    <row r="113" spans="1:17" ht="48" customHeight="1" x14ac:dyDescent="0.25">
      <c r="A113" s="4"/>
      <c r="B113" s="47" t="s">
        <v>45</v>
      </c>
      <c r="C113" s="48"/>
      <c r="D113" s="4"/>
      <c r="E113" s="5">
        <f>E110+E112</f>
        <v>50159</v>
      </c>
      <c r="F113" s="4"/>
      <c r="G113" s="5">
        <f>G110+G112</f>
        <v>50159</v>
      </c>
      <c r="H113" s="4"/>
      <c r="I113" s="5">
        <f>I110+I112</f>
        <v>50159</v>
      </c>
      <c r="J113" s="4"/>
      <c r="K113" s="5">
        <f>K110+K112</f>
        <v>50159</v>
      </c>
      <c r="L113" s="4"/>
      <c r="M113" s="5">
        <f>M110+M112</f>
        <v>50159</v>
      </c>
      <c r="N113" s="18"/>
      <c r="O113" s="5">
        <f>O110+O112</f>
        <v>50159</v>
      </c>
      <c r="P113" s="4"/>
      <c r="Q113" s="5">
        <f>Q110+Q112</f>
        <v>50159</v>
      </c>
    </row>
  </sheetData>
  <mergeCells count="22">
    <mergeCell ref="A1:Q1"/>
    <mergeCell ref="B108:C108"/>
    <mergeCell ref="A2:A3"/>
    <mergeCell ref="B2:B3"/>
    <mergeCell ref="C2:C3"/>
    <mergeCell ref="D2:Q2"/>
    <mergeCell ref="J3:K3"/>
    <mergeCell ref="D3:E3"/>
    <mergeCell ref="H3:I3"/>
    <mergeCell ref="L3:M3"/>
    <mergeCell ref="B101:C101"/>
    <mergeCell ref="B103:C103"/>
    <mergeCell ref="B105:C105"/>
    <mergeCell ref="B107:C107"/>
    <mergeCell ref="B112:C112"/>
    <mergeCell ref="B113:C113"/>
    <mergeCell ref="N3:O3"/>
    <mergeCell ref="P3:Q3"/>
    <mergeCell ref="F3:G3"/>
    <mergeCell ref="B110:C110"/>
    <mergeCell ref="B111:C111"/>
    <mergeCell ref="B109:C109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view="pageBreakPreview" zoomScale="69" zoomScaleNormal="81" zoomScaleSheetLayoutView="69" workbookViewId="0">
      <pane xSplit="3" ySplit="4" topLeftCell="F92" activePane="bottomRight" state="frozen"/>
      <selection pane="topRight" activeCell="D1" sqref="D1"/>
      <selection pane="bottomLeft" activeCell="A5" sqref="A5"/>
      <selection pane="bottomRight" activeCell="A2" sqref="A2:A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46.5" customHeight="1" x14ac:dyDescent="0.25">
      <c r="A2" s="59" t="s">
        <v>2</v>
      </c>
      <c r="B2" s="59" t="s">
        <v>0</v>
      </c>
      <c r="C2" s="59" t="s">
        <v>1</v>
      </c>
      <c r="D2" s="51" t="s">
        <v>19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2"/>
    </row>
    <row r="3" spans="1:17" s="2" customFormat="1" ht="51" customHeight="1" x14ac:dyDescent="0.25">
      <c r="A3" s="60"/>
      <c r="B3" s="60"/>
      <c r="C3" s="60"/>
      <c r="D3" s="53" t="s">
        <v>43</v>
      </c>
      <c r="E3" s="53"/>
      <c r="F3" s="53" t="s">
        <v>28</v>
      </c>
      <c r="G3" s="53"/>
      <c r="H3" s="51" t="s">
        <v>21</v>
      </c>
      <c r="I3" s="52"/>
      <c r="J3" s="51" t="s">
        <v>29</v>
      </c>
      <c r="K3" s="52"/>
      <c r="L3" s="53" t="s">
        <v>8</v>
      </c>
      <c r="M3" s="53"/>
      <c r="N3" s="49" t="s">
        <v>9</v>
      </c>
      <c r="O3" s="50"/>
      <c r="P3" s="51" t="s">
        <v>10</v>
      </c>
      <c r="Q3" s="52"/>
    </row>
    <row r="4" spans="1:17" ht="48.75" customHeight="1" x14ac:dyDescent="0.25">
      <c r="A4" s="30"/>
      <c r="B4" s="30"/>
      <c r="C4" s="30"/>
      <c r="D4" s="37" t="s">
        <v>5</v>
      </c>
      <c r="E4" s="35" t="s">
        <v>6</v>
      </c>
      <c r="F4" s="37" t="s">
        <v>5</v>
      </c>
      <c r="G4" s="35" t="s">
        <v>6</v>
      </c>
      <c r="H4" s="30" t="s">
        <v>5</v>
      </c>
      <c r="I4" s="31" t="s">
        <v>6</v>
      </c>
      <c r="J4" s="37" t="s">
        <v>5</v>
      </c>
      <c r="K4" s="35" t="s">
        <v>6</v>
      </c>
      <c r="L4" s="30" t="s">
        <v>5</v>
      </c>
      <c r="M4" s="32" t="s">
        <v>6</v>
      </c>
      <c r="N4" s="14" t="s">
        <v>5</v>
      </c>
      <c r="O4" s="32" t="s">
        <v>6</v>
      </c>
      <c r="P4" s="31" t="s">
        <v>5</v>
      </c>
      <c r="Q4" s="31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55.5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50.25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46.5" customHeight="1" x14ac:dyDescent="0.25">
      <c r="A9" s="4"/>
      <c r="B9" s="4"/>
      <c r="C9" s="6" t="s">
        <v>12</v>
      </c>
      <c r="D9" s="4"/>
      <c r="E9" s="7">
        <f t="shared" ref="E9" si="0">ROUND((E5+E6)*0.05,2)</f>
        <v>667.55</v>
      </c>
      <c r="F9" s="7"/>
      <c r="G9" s="7">
        <f>ROUND((G5+G6)*0.05,2)</f>
        <v>742.32</v>
      </c>
      <c r="H9" s="7"/>
      <c r="I9" s="7">
        <f>ROUND((I5+I6)*0.05,2)</f>
        <v>742.32</v>
      </c>
      <c r="J9" s="7"/>
      <c r="K9" s="7">
        <f>ROUND((K5+K6)*0.05,2)</f>
        <v>1068.08</v>
      </c>
      <c r="L9" s="7"/>
      <c r="M9" s="7">
        <f>ROUND((M5+M6)*0.05,2)</f>
        <v>1068.08</v>
      </c>
      <c r="N9" s="7"/>
      <c r="O9" s="7">
        <f>ROUND((O5+O6)*0.05,2)</f>
        <v>1068.08</v>
      </c>
      <c r="P9" s="7"/>
      <c r="Q9" s="7">
        <f>ROUND((Q5+Q6)*0.05,2)</f>
        <v>1281.7</v>
      </c>
    </row>
    <row r="10" spans="1:17" ht="61.5" customHeight="1" x14ac:dyDescent="0.25">
      <c r="A10" s="4"/>
      <c r="B10" s="4"/>
      <c r="C10" s="6" t="s">
        <v>49</v>
      </c>
      <c r="D10" s="4"/>
      <c r="E10" s="7">
        <f t="shared" ref="E10" si="1">ROUND(E5*0.4,2)</f>
        <v>4108</v>
      </c>
      <c r="F10" s="7"/>
      <c r="G10" s="7">
        <f>ROUND(G5*0.4,2)</f>
        <v>4568.1000000000004</v>
      </c>
      <c r="H10" s="7"/>
      <c r="I10" s="7">
        <f t="shared" ref="I10:Q10" si="2">ROUND(I5*0.4,2)</f>
        <v>4568.1000000000004</v>
      </c>
      <c r="J10" s="7"/>
      <c r="K10" s="7">
        <f t="shared" si="2"/>
        <v>6572.8</v>
      </c>
      <c r="L10" s="7"/>
      <c r="M10" s="7">
        <f t="shared" si="2"/>
        <v>6572.8</v>
      </c>
      <c r="N10" s="7"/>
      <c r="O10" s="7">
        <f t="shared" si="2"/>
        <v>6572.8</v>
      </c>
      <c r="P10" s="7"/>
      <c r="Q10" s="7">
        <f t="shared" si="2"/>
        <v>7887.36</v>
      </c>
    </row>
    <row r="11" spans="1:17" ht="39.75" customHeight="1" x14ac:dyDescent="0.25">
      <c r="A11" s="4"/>
      <c r="B11" s="4"/>
      <c r="C11" s="6" t="s">
        <v>50</v>
      </c>
      <c r="D11" s="4"/>
      <c r="E11" s="7">
        <f t="shared" ref="E11" si="3">ROUND(E5*0.2,2)</f>
        <v>2054</v>
      </c>
      <c r="F11" s="7"/>
      <c r="G11" s="7">
        <f>ROUND(G5*0.2,2)</f>
        <v>2284.0500000000002</v>
      </c>
      <c r="H11" s="7"/>
      <c r="I11" s="7">
        <f>ROUND(I5*0.2,2)</f>
        <v>2284.0500000000002</v>
      </c>
      <c r="J11" s="7"/>
      <c r="K11" s="7">
        <f>ROUND(K5*0.2,2)</f>
        <v>3286.4</v>
      </c>
      <c r="L11" s="7"/>
      <c r="M11" s="7">
        <f>ROUND(M5*0.2,2)</f>
        <v>3286.4</v>
      </c>
      <c r="N11" s="7"/>
      <c r="O11" s="7">
        <f>ROUND(O5*0.2,2)</f>
        <v>3286.4</v>
      </c>
      <c r="P11" s="7"/>
      <c r="Q11" s="7">
        <f>ROUND(Q5*0.2,2)</f>
        <v>3943.68</v>
      </c>
    </row>
    <row r="12" spans="1:17" ht="28.5" customHeight="1" x14ac:dyDescent="0.25">
      <c r="A12" s="4"/>
      <c r="B12" s="4"/>
      <c r="C12" s="4" t="s">
        <v>13</v>
      </c>
      <c r="D12" s="4"/>
      <c r="E12" s="7">
        <f t="shared" ref="E12" si="4">ROUND((E5+E6+E7+E8++E9+E10+E11)*0.05,2)</f>
        <v>1209.29</v>
      </c>
      <c r="F12" s="7"/>
      <c r="G12" s="7">
        <f>ROUND((G5+G6+G7+G8++G9+G10+G11)*0.05,2)</f>
        <v>1344.73</v>
      </c>
      <c r="H12" s="7"/>
      <c r="I12" s="7">
        <f t="shared" ref="I12:Q12" si="5">ROUND((I5+I6+I7+I8++I9+I10+I11)*0.05,2)</f>
        <v>1344.73</v>
      </c>
      <c r="J12" s="7"/>
      <c r="K12" s="7">
        <f t="shared" si="5"/>
        <v>2148.48</v>
      </c>
      <c r="L12" s="7"/>
      <c r="M12" s="7">
        <f t="shared" si="5"/>
        <v>1934.87</v>
      </c>
      <c r="N12" s="7"/>
      <c r="O12" s="7">
        <f t="shared" si="5"/>
        <v>1934.87</v>
      </c>
      <c r="P12" s="7"/>
      <c r="Q12" s="7">
        <f t="shared" si="5"/>
        <v>2578.1799999999998</v>
      </c>
    </row>
    <row r="13" spans="1:17" ht="24.75" customHeight="1" x14ac:dyDescent="0.25">
      <c r="A13" s="4"/>
      <c r="B13" s="4"/>
      <c r="C13" s="4" t="s">
        <v>14</v>
      </c>
      <c r="D13" s="4"/>
      <c r="E13" s="3">
        <f t="shared" ref="E13" si="6">ROUND((E5+E6+E7+E8+E9+E10+E11)*0.01,2)</f>
        <v>241.86</v>
      </c>
      <c r="F13" s="3"/>
      <c r="G13" s="3">
        <f>ROUND((G5+G6+G7+G8+G9+G10+G11)*0.01,2)</f>
        <v>268.95</v>
      </c>
      <c r="H13" s="3"/>
      <c r="I13" s="3">
        <f t="shared" ref="I13:Q13" si="7">ROUND((I5+I6+I7+I8+I9+I10+I11)*0.01,2)</f>
        <v>268.95</v>
      </c>
      <c r="J13" s="3"/>
      <c r="K13" s="3">
        <f t="shared" si="7"/>
        <v>429.7</v>
      </c>
      <c r="L13" s="3"/>
      <c r="M13" s="3">
        <f t="shared" si="7"/>
        <v>386.97</v>
      </c>
      <c r="N13" s="3"/>
      <c r="O13" s="3">
        <f t="shared" si="7"/>
        <v>386.97</v>
      </c>
      <c r="P13" s="3"/>
      <c r="Q13" s="3">
        <f t="shared" si="7"/>
        <v>515.64</v>
      </c>
    </row>
    <row r="14" spans="1:17" ht="24.75" customHeight="1" x14ac:dyDescent="0.25">
      <c r="A14" s="4"/>
      <c r="B14" s="4"/>
      <c r="C14" s="4" t="s">
        <v>36</v>
      </c>
      <c r="D14" s="4"/>
      <c r="E14" s="7">
        <f t="shared" ref="E14" si="8">ROUND(22165.64/29.3*42/12*D5,2)</f>
        <v>3309.72</v>
      </c>
      <c r="F14" s="7"/>
      <c r="G14" s="7">
        <f>ROUND(22165.64/29.3*42/12*F5,2)</f>
        <v>3680.4</v>
      </c>
      <c r="H14" s="7"/>
      <c r="I14" s="7">
        <f t="shared" ref="I14:Q14" si="9">ROUND(22165.64/29.3*42/12*H5,2)</f>
        <v>3680.4</v>
      </c>
      <c r="J14" s="7"/>
      <c r="K14" s="7">
        <f t="shared" si="9"/>
        <v>5295.55</v>
      </c>
      <c r="L14" s="7"/>
      <c r="M14" s="7">
        <f t="shared" si="9"/>
        <v>5295.55</v>
      </c>
      <c r="N14" s="7"/>
      <c r="O14" s="7">
        <f t="shared" si="9"/>
        <v>5295.55</v>
      </c>
      <c r="P14" s="7"/>
      <c r="Q14" s="7">
        <f t="shared" si="9"/>
        <v>6354.65</v>
      </c>
    </row>
    <row r="15" spans="1:17" ht="39" customHeight="1" x14ac:dyDescent="0.25">
      <c r="A15" s="4"/>
      <c r="B15" s="4"/>
      <c r="C15" s="6" t="s">
        <v>15</v>
      </c>
      <c r="D15" s="4"/>
      <c r="E15" s="12">
        <f t="shared" ref="E15" si="10">ROUND((E5+E6+E7+E8+E9+E10+E12+E13+E14+E11)*0.302,2)</f>
        <v>8741.91</v>
      </c>
      <c r="F15" s="12"/>
      <c r="G15" s="12">
        <f>ROUND((G5+G6+G7+G8+G9+G10+G12+G13+G14+G11)*0.302,2)</f>
        <v>9721</v>
      </c>
      <c r="H15" s="12"/>
      <c r="I15" s="12">
        <f t="shared" ref="I15:Q15" si="11">ROUND((I5+I6+I7+I8+I9+I10+I12+I13+I14+I11)*0.302,2)</f>
        <v>9721</v>
      </c>
      <c r="J15" s="12"/>
      <c r="K15" s="12">
        <f t="shared" si="11"/>
        <v>15354.71</v>
      </c>
      <c r="L15" s="12"/>
      <c r="M15" s="12">
        <f t="shared" si="11"/>
        <v>13987.05</v>
      </c>
      <c r="N15" s="12"/>
      <c r="O15" s="12">
        <f t="shared" si="11"/>
        <v>13987.05</v>
      </c>
      <c r="P15" s="12"/>
      <c r="Q15" s="12">
        <f t="shared" si="11"/>
        <v>18425.650000000001</v>
      </c>
    </row>
    <row r="16" spans="1:17" ht="36" customHeight="1" x14ac:dyDescent="0.25">
      <c r="A16" s="4"/>
      <c r="B16" s="4"/>
      <c r="C16" s="6" t="s">
        <v>18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1" t="s">
        <v>16</v>
      </c>
      <c r="D17" s="4"/>
      <c r="E17" s="7">
        <f t="shared" ref="E17" si="12">E5+E6+E7+E8+E9+E10+E12+E13+E15+E14+E11</f>
        <v>37688.629999999997</v>
      </c>
      <c r="F17" s="7"/>
      <c r="G17" s="7">
        <f>G5+G6+G7+G8+G9+G10+G12+G13+G15+G14+G11</f>
        <v>41909.750000000007</v>
      </c>
      <c r="H17" s="7"/>
      <c r="I17" s="7">
        <f t="shared" ref="I17:Q17" si="13">I5+I6+I7+I8+I9+I10+I12+I13+I15+I14+I11</f>
        <v>41909.750000000007</v>
      </c>
      <c r="J17" s="7"/>
      <c r="K17" s="7">
        <f t="shared" si="13"/>
        <v>66198.12</v>
      </c>
      <c r="L17" s="7"/>
      <c r="M17" s="7">
        <f t="shared" si="13"/>
        <v>60301.80000000001</v>
      </c>
      <c r="N17" s="7"/>
      <c r="O17" s="7">
        <f t="shared" si="13"/>
        <v>60301.80000000001</v>
      </c>
      <c r="P17" s="7"/>
      <c r="Q17" s="7">
        <f t="shared" si="13"/>
        <v>79437.739999999991</v>
      </c>
    </row>
    <row r="18" spans="1:17" ht="24.75" customHeight="1" x14ac:dyDescent="0.25">
      <c r="A18" s="4"/>
      <c r="B18" s="4"/>
      <c r="C18" s="11" t="s">
        <v>17</v>
      </c>
      <c r="D18" s="4"/>
      <c r="E18" s="7">
        <f t="shared" ref="E18" si="14">ROUND(E17*12,2)</f>
        <v>452263.56</v>
      </c>
      <c r="F18" s="7"/>
      <c r="G18" s="7">
        <f>ROUND(G17*12,2)</f>
        <v>502917</v>
      </c>
      <c r="H18" s="7"/>
      <c r="I18" s="7">
        <f t="shared" ref="I18:Q18" si="15">ROUND(I17*12,2)</f>
        <v>502917</v>
      </c>
      <c r="J18" s="7"/>
      <c r="K18" s="7">
        <f t="shared" si="15"/>
        <v>794377.44</v>
      </c>
      <c r="L18" s="7"/>
      <c r="M18" s="7">
        <f t="shared" si="15"/>
        <v>723621.6</v>
      </c>
      <c r="N18" s="7"/>
      <c r="O18" s="7">
        <f t="shared" si="15"/>
        <v>723621.6</v>
      </c>
      <c r="P18" s="7"/>
      <c r="Q18" s="7">
        <f t="shared" si="15"/>
        <v>953252.88</v>
      </c>
    </row>
    <row r="19" spans="1:17" x14ac:dyDescent="0.25">
      <c r="A19" s="4"/>
      <c r="B19" s="4"/>
      <c r="C19" s="4"/>
      <c r="D19" s="4"/>
      <c r="E19" s="4"/>
      <c r="F19" s="4"/>
      <c r="G19" s="23"/>
      <c r="H19" s="4"/>
      <c r="I19" s="23"/>
      <c r="J19" s="18"/>
      <c r="K19" s="24"/>
      <c r="L19" s="18"/>
      <c r="M19" s="24"/>
      <c r="N19" s="18"/>
      <c r="O19" s="24"/>
      <c r="P19" s="18"/>
      <c r="Q19" s="24"/>
    </row>
    <row r="20" spans="1:17" ht="45" x14ac:dyDescent="0.25">
      <c r="A20" s="3">
        <v>2</v>
      </c>
      <c r="B20" s="6" t="s">
        <v>4</v>
      </c>
      <c r="C20" s="6" t="s">
        <v>40</v>
      </c>
      <c r="D20" s="3">
        <v>0.25</v>
      </c>
      <c r="E20" s="7">
        <f>ROUND(7471*D20,2)</f>
        <v>1867.75</v>
      </c>
      <c r="F20" s="7">
        <v>0.25</v>
      </c>
      <c r="G20" s="7">
        <f>ROUND(7471*F20,2)</f>
        <v>1867.75</v>
      </c>
      <c r="H20" s="3">
        <v>0.25</v>
      </c>
      <c r="I20" s="7">
        <f>ROUND(7471*H20,2)</f>
        <v>1867.75</v>
      </c>
      <c r="J20" s="19">
        <v>0.25</v>
      </c>
      <c r="K20" s="7">
        <f>ROUND(7471*J20,2)</f>
        <v>1867.75</v>
      </c>
      <c r="L20" s="19">
        <v>0.25</v>
      </c>
      <c r="M20" s="7">
        <f>ROUND(7471*L20,2)</f>
        <v>1867.75</v>
      </c>
      <c r="N20" s="19">
        <v>0.25</v>
      </c>
      <c r="O20" s="7">
        <f>ROUND(7471*N20,2)</f>
        <v>1867.75</v>
      </c>
      <c r="P20" s="19">
        <v>0.25</v>
      </c>
      <c r="Q20" s="7">
        <f>ROUND(7471*P20,2)</f>
        <v>1867.75</v>
      </c>
    </row>
    <row r="21" spans="1:17" ht="45" x14ac:dyDescent="0.25">
      <c r="A21" s="4"/>
      <c r="B21" s="4"/>
      <c r="C21" s="6" t="s">
        <v>47</v>
      </c>
      <c r="D21" s="4"/>
      <c r="E21" s="7">
        <f>ROUND(E20*0.3,2)</f>
        <v>560.33000000000004</v>
      </c>
      <c r="F21" s="5"/>
      <c r="G21" s="7">
        <f>ROUND(G20*0.3,2)</f>
        <v>560.33000000000004</v>
      </c>
      <c r="H21" s="4"/>
      <c r="I21" s="7">
        <f>ROUND(I20*0.3,2)</f>
        <v>560.33000000000004</v>
      </c>
      <c r="J21" s="18"/>
      <c r="K21" s="7">
        <f>ROUND(K20*0.3,2)</f>
        <v>560.33000000000004</v>
      </c>
      <c r="L21" s="18"/>
      <c r="M21" s="16">
        <f>ROUND(M20*0.3,2)</f>
        <v>560.33000000000004</v>
      </c>
      <c r="N21" s="18"/>
      <c r="O21" s="16">
        <f>ROUND(O20*0.3,2)</f>
        <v>560.33000000000004</v>
      </c>
      <c r="P21" s="18"/>
      <c r="Q21" s="7">
        <f>ROUND(Q20*0.3,2)</f>
        <v>560.33000000000004</v>
      </c>
    </row>
    <row r="22" spans="1:17" ht="45.75" customHeight="1" x14ac:dyDescent="0.25">
      <c r="A22" s="4"/>
      <c r="B22" s="4"/>
      <c r="C22" s="6" t="s">
        <v>46</v>
      </c>
      <c r="D22" s="4"/>
      <c r="E22" s="7"/>
      <c r="F22" s="5"/>
      <c r="G22" s="7"/>
      <c r="H22" s="4"/>
      <c r="I22" s="7"/>
      <c r="J22" s="18"/>
      <c r="K22" s="7">
        <f>ROUND((K20+K21)*0.2,2)</f>
        <v>485.62</v>
      </c>
      <c r="L22" s="18"/>
      <c r="M22" s="16"/>
      <c r="N22" s="18"/>
      <c r="O22" s="16"/>
      <c r="P22" s="18"/>
      <c r="Q22" s="7">
        <f>ROUND((Q20+Q21)*0.2,2)</f>
        <v>485.62</v>
      </c>
    </row>
    <row r="23" spans="1:17" ht="60" x14ac:dyDescent="0.25">
      <c r="A23" s="4"/>
      <c r="B23" s="4"/>
      <c r="C23" s="6" t="s">
        <v>48</v>
      </c>
      <c r="D23" s="4"/>
      <c r="E23" s="7">
        <f>ROUND((E20+E21)*0.3,2)</f>
        <v>728.42</v>
      </c>
      <c r="F23" s="5"/>
      <c r="G23" s="7">
        <f>ROUND((G20+G21)*0.3,2)</f>
        <v>728.42</v>
      </c>
      <c r="H23" s="4"/>
      <c r="I23" s="7">
        <f>ROUND((I20+I21)*0.3,2)</f>
        <v>728.42</v>
      </c>
      <c r="J23" s="18"/>
      <c r="K23" s="7">
        <f>ROUND((K20+K21)*0.3,2)</f>
        <v>728.42</v>
      </c>
      <c r="L23" s="18"/>
      <c r="M23" s="16">
        <f>ROUND((M20+M21)*0.3,2)</f>
        <v>728.42</v>
      </c>
      <c r="N23" s="18"/>
      <c r="O23" s="16">
        <f>ROUND((O20+O21)*0.3,2)</f>
        <v>728.42</v>
      </c>
      <c r="P23" s="18"/>
      <c r="Q23" s="7">
        <f>ROUND((Q20+Q21)*0.3,2)</f>
        <v>728.42</v>
      </c>
    </row>
    <row r="24" spans="1:17" ht="45" x14ac:dyDescent="0.25">
      <c r="A24" s="4"/>
      <c r="B24" s="4"/>
      <c r="C24" s="6" t="s">
        <v>12</v>
      </c>
      <c r="D24" s="6"/>
      <c r="E24" s="40">
        <f>ROUND((E20+E21)*0.05,2)</f>
        <v>121.4</v>
      </c>
      <c r="F24" s="7"/>
      <c r="G24" s="7">
        <f>ROUND((G20+G21)*0.05,2)</f>
        <v>121.4</v>
      </c>
      <c r="H24" s="7"/>
      <c r="I24" s="7">
        <f>ROUND((I20+I21)*0.05,2)</f>
        <v>121.4</v>
      </c>
      <c r="J24" s="7"/>
      <c r="K24" s="7">
        <f>ROUND((K20+K21)*0.05,2)</f>
        <v>121.4</v>
      </c>
      <c r="L24" s="7"/>
      <c r="M24" s="7">
        <f>ROUND((M20+M21)*0.05,2)</f>
        <v>121.4</v>
      </c>
      <c r="N24" s="7"/>
      <c r="O24" s="7">
        <f>ROUND((O20+O21)*0.05,2)</f>
        <v>121.4</v>
      </c>
      <c r="P24" s="7"/>
      <c r="Q24" s="7">
        <f>ROUND((Q20+Q21)*0.05,2)</f>
        <v>121.4</v>
      </c>
    </row>
    <row r="25" spans="1:17" ht="45" x14ac:dyDescent="0.25">
      <c r="A25" s="4"/>
      <c r="B25" s="4"/>
      <c r="C25" s="6" t="s">
        <v>49</v>
      </c>
      <c r="D25" s="6"/>
      <c r="E25" s="40">
        <f>ROUND(E20*0.4,2)</f>
        <v>747.1</v>
      </c>
      <c r="F25" s="7"/>
      <c r="G25" s="7">
        <f>ROUND(G20*0.4,2)</f>
        <v>747.1</v>
      </c>
      <c r="H25" s="7"/>
      <c r="I25" s="7">
        <f t="shared" ref="I25:Q25" si="16">ROUND(I20*0.4,2)</f>
        <v>747.1</v>
      </c>
      <c r="J25" s="7"/>
      <c r="K25" s="7">
        <f t="shared" si="16"/>
        <v>747.1</v>
      </c>
      <c r="L25" s="7"/>
      <c r="M25" s="7">
        <f t="shared" si="16"/>
        <v>747.1</v>
      </c>
      <c r="N25" s="7"/>
      <c r="O25" s="7">
        <f t="shared" si="16"/>
        <v>747.1</v>
      </c>
      <c r="P25" s="7"/>
      <c r="Q25" s="7">
        <f t="shared" si="16"/>
        <v>747.1</v>
      </c>
    </row>
    <row r="26" spans="1:17" ht="35.25" customHeight="1" x14ac:dyDescent="0.25">
      <c r="A26" s="4"/>
      <c r="B26" s="4"/>
      <c r="C26" s="6" t="s">
        <v>50</v>
      </c>
      <c r="D26" s="6"/>
      <c r="E26" s="40">
        <f>ROUND(E20*0.2,2)</f>
        <v>373.55</v>
      </c>
      <c r="F26" s="7"/>
      <c r="G26" s="7">
        <f>ROUND(G20*0.2,2)</f>
        <v>373.55</v>
      </c>
      <c r="H26" s="7"/>
      <c r="I26" s="7">
        <f>ROUND(I20*0.2,2)</f>
        <v>373.55</v>
      </c>
      <c r="J26" s="7"/>
      <c r="K26" s="7">
        <f>ROUND(K20*0.2,2)</f>
        <v>373.55</v>
      </c>
      <c r="L26" s="7"/>
      <c r="M26" s="7">
        <f>ROUND(M20*0.2,2)</f>
        <v>373.55</v>
      </c>
      <c r="N26" s="7"/>
      <c r="O26" s="7">
        <f>ROUND(O20*0.2,2)</f>
        <v>373.55</v>
      </c>
      <c r="P26" s="7"/>
      <c r="Q26" s="7">
        <f>ROUND(Q20*0.2,2)</f>
        <v>373.55</v>
      </c>
    </row>
    <row r="27" spans="1:17" x14ac:dyDescent="0.25">
      <c r="A27" s="4"/>
      <c r="B27" s="4"/>
      <c r="C27" s="4" t="s">
        <v>13</v>
      </c>
      <c r="D27" s="4"/>
      <c r="E27" s="7">
        <f>ROUND((E20+E21+E22++E23+E24+E25+E26)*0.05,2)</f>
        <v>219.93</v>
      </c>
      <c r="F27" s="7"/>
      <c r="G27" s="7">
        <f>ROUND((G20+G21+G22++G23+G24+G25+G26)*0.05,2)</f>
        <v>219.93</v>
      </c>
      <c r="H27" s="7"/>
      <c r="I27" s="7">
        <f t="shared" ref="I27:Q27" si="17">ROUND((I20+I21+I22++I23+I24+I25+I26)*0.05,2)</f>
        <v>219.93</v>
      </c>
      <c r="J27" s="7"/>
      <c r="K27" s="7">
        <f t="shared" si="17"/>
        <v>244.21</v>
      </c>
      <c r="L27" s="7"/>
      <c r="M27" s="7">
        <f t="shared" si="17"/>
        <v>219.93</v>
      </c>
      <c r="N27" s="7"/>
      <c r="O27" s="7">
        <f t="shared" si="17"/>
        <v>219.93</v>
      </c>
      <c r="P27" s="7"/>
      <c r="Q27" s="7">
        <f t="shared" si="17"/>
        <v>244.21</v>
      </c>
    </row>
    <row r="28" spans="1:17" x14ac:dyDescent="0.25">
      <c r="A28" s="4"/>
      <c r="B28" s="4"/>
      <c r="C28" s="4" t="s">
        <v>14</v>
      </c>
      <c r="D28" s="4"/>
      <c r="E28" s="3">
        <f>ROUND((E20+E21+E22+E23+E24+E25+E26)*0.01,2)</f>
        <v>43.99</v>
      </c>
      <c r="F28" s="3"/>
      <c r="G28" s="3">
        <f>ROUND((G20+G21+G22+G23+G24+G25+G26)*0.01,2)</f>
        <v>43.99</v>
      </c>
      <c r="H28" s="3"/>
      <c r="I28" s="3">
        <f t="shared" ref="I28:Q28" si="18">ROUND((I20+I21+I22+I23+I24+I25+I26)*0.01,2)</f>
        <v>43.99</v>
      </c>
      <c r="J28" s="3"/>
      <c r="K28" s="3">
        <f t="shared" si="18"/>
        <v>48.84</v>
      </c>
      <c r="L28" s="3"/>
      <c r="M28" s="3">
        <f t="shared" si="18"/>
        <v>43.99</v>
      </c>
      <c r="N28" s="3"/>
      <c r="O28" s="3">
        <f t="shared" si="18"/>
        <v>43.99</v>
      </c>
      <c r="P28" s="3"/>
      <c r="Q28" s="3">
        <f t="shared" si="18"/>
        <v>48.84</v>
      </c>
    </row>
    <row r="29" spans="1:17" ht="30" x14ac:dyDescent="0.25">
      <c r="A29" s="4"/>
      <c r="B29" s="4"/>
      <c r="C29" s="6" t="s">
        <v>15</v>
      </c>
      <c r="D29" s="6"/>
      <c r="E29" s="40">
        <f>ROUND((E20+E21+E22+E23+E24+E25+E27+E28+E26)*0.302,2)</f>
        <v>1408.07</v>
      </c>
      <c r="F29" s="12"/>
      <c r="G29" s="12">
        <f>ROUND((G20+G21+G22+G23+G24+G25+G27+G28+G26)*0.302,2)</f>
        <v>1408.07</v>
      </c>
      <c r="H29" s="12"/>
      <c r="I29" s="12">
        <f t="shared" ref="I29:Q29" si="19">ROUND((I20+I21+I22+I23+I24+I25+I27+I28+I26)*0.302,2)</f>
        <v>1408.07</v>
      </c>
      <c r="J29" s="12"/>
      <c r="K29" s="12">
        <f t="shared" si="19"/>
        <v>1563.52</v>
      </c>
      <c r="L29" s="12"/>
      <c r="M29" s="12">
        <f t="shared" si="19"/>
        <v>1408.07</v>
      </c>
      <c r="N29" s="12"/>
      <c r="O29" s="12">
        <f t="shared" si="19"/>
        <v>1408.07</v>
      </c>
      <c r="P29" s="12"/>
      <c r="Q29" s="12">
        <f t="shared" si="19"/>
        <v>1563.52</v>
      </c>
    </row>
    <row r="30" spans="1:17" ht="52.5" customHeight="1" x14ac:dyDescent="0.25">
      <c r="A30" s="4"/>
      <c r="B30" s="4"/>
      <c r="C30" s="6" t="s">
        <v>23</v>
      </c>
      <c r="D30" s="6"/>
      <c r="E30" s="4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1" t="s">
        <v>16</v>
      </c>
      <c r="D31" s="11"/>
      <c r="E31" s="40">
        <f>E20+E21+E22+E23+E24+E25+E27+E28+E29+E26</f>
        <v>6070.54</v>
      </c>
      <c r="F31" s="7"/>
      <c r="G31" s="7">
        <f>G20+G21+G22+G23+G24+G25+G27+G28+G29+G26</f>
        <v>6070.54</v>
      </c>
      <c r="H31" s="7"/>
      <c r="I31" s="7">
        <f t="shared" ref="I31:Q31" si="20">I20+I21+I22+I23+I24+I25+I27+I28+I29+I26</f>
        <v>6070.54</v>
      </c>
      <c r="J31" s="7"/>
      <c r="K31" s="7">
        <f t="shared" si="20"/>
        <v>6740.7400000000007</v>
      </c>
      <c r="L31" s="7"/>
      <c r="M31" s="7">
        <f t="shared" si="20"/>
        <v>6070.54</v>
      </c>
      <c r="N31" s="7"/>
      <c r="O31" s="7">
        <f t="shared" si="20"/>
        <v>6070.54</v>
      </c>
      <c r="P31" s="7"/>
      <c r="Q31" s="7">
        <f t="shared" si="20"/>
        <v>6740.7400000000007</v>
      </c>
    </row>
    <row r="32" spans="1:17" x14ac:dyDescent="0.25">
      <c r="A32" s="4"/>
      <c r="B32" s="4"/>
      <c r="C32" s="11" t="s">
        <v>17</v>
      </c>
      <c r="D32" s="11"/>
      <c r="E32" s="40">
        <f>ROUND(E31*12,2)</f>
        <v>72846.48</v>
      </c>
      <c r="F32" s="5"/>
      <c r="G32" s="7">
        <f>ROUND(G31*12,2)</f>
        <v>72846.48</v>
      </c>
      <c r="H32" s="7"/>
      <c r="I32" s="7">
        <f t="shared" ref="I32:Q32" si="21">ROUND(I31*12,2)</f>
        <v>72846.48</v>
      </c>
      <c r="J32" s="7"/>
      <c r="K32" s="7">
        <f t="shared" si="21"/>
        <v>80888.88</v>
      </c>
      <c r="L32" s="7"/>
      <c r="M32" s="7">
        <f t="shared" si="21"/>
        <v>72846.48</v>
      </c>
      <c r="N32" s="7"/>
      <c r="O32" s="7">
        <f t="shared" si="21"/>
        <v>72846.48</v>
      </c>
      <c r="P32" s="7"/>
      <c r="Q32" s="7">
        <f t="shared" si="21"/>
        <v>80888.88</v>
      </c>
    </row>
    <row r="33" spans="1:17" ht="45" x14ac:dyDescent="0.25">
      <c r="A33" s="3">
        <v>3</v>
      </c>
      <c r="B33" s="6" t="s">
        <v>31</v>
      </c>
      <c r="C33" s="6" t="s">
        <v>40</v>
      </c>
      <c r="D33" s="38">
        <v>0.125</v>
      </c>
      <c r="E33" s="40">
        <f>ROUND(7471*D33,2)</f>
        <v>933.88</v>
      </c>
      <c r="F33" s="21"/>
      <c r="G33" s="7">
        <f>ROUND(7471*F33,2)</f>
        <v>0</v>
      </c>
      <c r="H33" s="21">
        <v>0.125</v>
      </c>
      <c r="I33" s="7">
        <f>ROUND(7471*H33,2)</f>
        <v>933.88</v>
      </c>
      <c r="J33" s="22">
        <v>0.125</v>
      </c>
      <c r="K33" s="7">
        <f>ROUND(7471*J33,2)</f>
        <v>933.88</v>
      </c>
      <c r="L33" s="22"/>
      <c r="M33" s="7">
        <f>ROUND(7471*L33,2)</f>
        <v>0</v>
      </c>
      <c r="N33" s="22">
        <v>0.125</v>
      </c>
      <c r="O33" s="7">
        <f>ROUND(7471*N33,2)</f>
        <v>933.88</v>
      </c>
      <c r="P33" s="22">
        <v>0.125</v>
      </c>
      <c r="Q33" s="7">
        <f>ROUND(7471*P33,2)</f>
        <v>933.88</v>
      </c>
    </row>
    <row r="34" spans="1:17" ht="45" x14ac:dyDescent="0.25">
      <c r="A34" s="4"/>
      <c r="B34" s="4"/>
      <c r="C34" s="6" t="s">
        <v>47</v>
      </c>
      <c r="D34" s="6"/>
      <c r="E34" s="40">
        <f>ROUND(E33*0.3,2)</f>
        <v>280.16000000000003</v>
      </c>
      <c r="F34" s="5"/>
      <c r="G34" s="7">
        <f>ROUND(G33*0.3,2)</f>
        <v>0</v>
      </c>
      <c r="H34" s="4"/>
      <c r="I34" s="7">
        <f>ROUND(I33*0.3,2)</f>
        <v>280.16000000000003</v>
      </c>
      <c r="J34" s="18"/>
      <c r="K34" s="7">
        <f>ROUND(K33*0.3,2)</f>
        <v>280.16000000000003</v>
      </c>
      <c r="L34" s="18"/>
      <c r="M34" s="16">
        <f>ROUND(M33*0.3,2)</f>
        <v>0</v>
      </c>
      <c r="N34" s="18"/>
      <c r="O34" s="16">
        <f>ROUND(O33*0.3,2)</f>
        <v>280.16000000000003</v>
      </c>
      <c r="P34" s="18"/>
      <c r="Q34" s="7">
        <f>ROUND(Q33*0.3,2)</f>
        <v>280.16000000000003</v>
      </c>
    </row>
    <row r="35" spans="1:17" ht="45" x14ac:dyDescent="0.25">
      <c r="A35" s="4"/>
      <c r="B35" s="4"/>
      <c r="C35" s="6" t="s">
        <v>46</v>
      </c>
      <c r="D35" s="6"/>
      <c r="E35" s="40"/>
      <c r="F35" s="5"/>
      <c r="G35" s="7"/>
      <c r="H35" s="4"/>
      <c r="I35" s="7"/>
      <c r="J35" s="18"/>
      <c r="K35" s="7">
        <f>ROUND((K33+K34)*0.2,2)</f>
        <v>242.81</v>
      </c>
      <c r="L35" s="18"/>
      <c r="M35" s="16"/>
      <c r="N35" s="18"/>
      <c r="O35" s="16"/>
      <c r="P35" s="18"/>
      <c r="Q35" s="7">
        <f>ROUND((Q33+Q34)*0.2,2)</f>
        <v>242.81</v>
      </c>
    </row>
    <row r="36" spans="1:17" ht="60" x14ac:dyDescent="0.25">
      <c r="A36" s="4"/>
      <c r="B36" s="4"/>
      <c r="C36" s="6" t="s">
        <v>48</v>
      </c>
      <c r="D36" s="6"/>
      <c r="E36" s="40">
        <f>ROUND((E33+E34)*0.3,2)</f>
        <v>364.21</v>
      </c>
      <c r="F36" s="5"/>
      <c r="G36" s="7">
        <f>ROUND((G33+G34)*0.3,2)</f>
        <v>0</v>
      </c>
      <c r="H36" s="4"/>
      <c r="I36" s="7">
        <f>ROUND((I33+I34)*0.3,2)</f>
        <v>364.21</v>
      </c>
      <c r="J36" s="18"/>
      <c r="K36" s="7">
        <f>ROUND((K33+K34)*0.3,2)</f>
        <v>364.21</v>
      </c>
      <c r="L36" s="18"/>
      <c r="M36" s="16">
        <f>ROUND((M33+M34)*0.3,2)</f>
        <v>0</v>
      </c>
      <c r="N36" s="18"/>
      <c r="O36" s="16">
        <f>ROUND((O33+O34)*0.3,2)</f>
        <v>364.21</v>
      </c>
      <c r="P36" s="18"/>
      <c r="Q36" s="7">
        <f>ROUND((Q33+Q34)*0.3,2)</f>
        <v>364.21</v>
      </c>
    </row>
    <row r="37" spans="1:17" ht="45" x14ac:dyDescent="0.25">
      <c r="A37" s="4"/>
      <c r="B37" s="4"/>
      <c r="C37" s="6" t="s">
        <v>12</v>
      </c>
      <c r="D37" s="6"/>
      <c r="E37" s="40">
        <f>ROUND((E33+E34)*0.05,2)</f>
        <v>60.7</v>
      </c>
      <c r="F37" s="7"/>
      <c r="G37" s="7">
        <f>ROUND((G33+G34)*0.05,2)</f>
        <v>0</v>
      </c>
      <c r="H37" s="7"/>
      <c r="I37" s="7">
        <f>ROUND((I33+I34)*0.05,2)</f>
        <v>60.7</v>
      </c>
      <c r="J37" s="7"/>
      <c r="K37" s="7">
        <f>ROUND((K33+K34)*0.05,2)</f>
        <v>60.7</v>
      </c>
      <c r="L37" s="7"/>
      <c r="M37" s="7">
        <f>ROUND((M33+M34)*0.05,2)</f>
        <v>0</v>
      </c>
      <c r="N37" s="7"/>
      <c r="O37" s="7">
        <f>ROUND((O33+O34)*0.05,2)</f>
        <v>60.7</v>
      </c>
      <c r="P37" s="7"/>
      <c r="Q37" s="7">
        <f>ROUND((Q33+Q34)*0.05,2)</f>
        <v>60.7</v>
      </c>
    </row>
    <row r="38" spans="1:17" ht="45" x14ac:dyDescent="0.25">
      <c r="A38" s="4"/>
      <c r="B38" s="4"/>
      <c r="C38" s="6" t="s">
        <v>49</v>
      </c>
      <c r="D38" s="6"/>
      <c r="E38" s="40">
        <f>ROUND(E33*0.4,2)</f>
        <v>373.55</v>
      </c>
      <c r="F38" s="7"/>
      <c r="G38" s="7">
        <f>ROUND(G33*0.4,2)</f>
        <v>0</v>
      </c>
      <c r="H38" s="7"/>
      <c r="I38" s="7">
        <f t="shared" ref="I38:Q38" si="22">ROUND(I33*0.4,2)</f>
        <v>373.55</v>
      </c>
      <c r="J38" s="7"/>
      <c r="K38" s="7">
        <f t="shared" si="22"/>
        <v>373.55</v>
      </c>
      <c r="L38" s="7"/>
      <c r="M38" s="7">
        <f t="shared" si="22"/>
        <v>0</v>
      </c>
      <c r="N38" s="7"/>
      <c r="O38" s="7">
        <f t="shared" si="22"/>
        <v>373.55</v>
      </c>
      <c r="P38" s="7"/>
      <c r="Q38" s="7">
        <f t="shared" si="22"/>
        <v>373.55</v>
      </c>
    </row>
    <row r="39" spans="1:17" ht="36.75" customHeight="1" x14ac:dyDescent="0.25">
      <c r="A39" s="4"/>
      <c r="B39" s="4"/>
      <c r="C39" s="6" t="s">
        <v>50</v>
      </c>
      <c r="D39" s="6"/>
      <c r="E39" s="40">
        <f>ROUND(E33*0.2,2)</f>
        <v>186.78</v>
      </c>
      <c r="F39" s="7"/>
      <c r="G39" s="7">
        <f>ROUND(G33*0.2,2)</f>
        <v>0</v>
      </c>
      <c r="H39" s="7"/>
      <c r="I39" s="7">
        <f t="shared" ref="I39:Q39" si="23">ROUND(I33*0.2,2)</f>
        <v>186.78</v>
      </c>
      <c r="J39" s="7"/>
      <c r="K39" s="7">
        <f t="shared" si="23"/>
        <v>186.78</v>
      </c>
      <c r="L39" s="7"/>
      <c r="M39" s="7">
        <f t="shared" si="23"/>
        <v>0</v>
      </c>
      <c r="N39" s="7"/>
      <c r="O39" s="7">
        <f t="shared" si="23"/>
        <v>186.78</v>
      </c>
      <c r="P39" s="7"/>
      <c r="Q39" s="7">
        <f t="shared" si="23"/>
        <v>186.78</v>
      </c>
    </row>
    <row r="40" spans="1:17" ht="26.25" customHeight="1" x14ac:dyDescent="0.25">
      <c r="A40" s="4"/>
      <c r="B40" s="4"/>
      <c r="C40" s="4" t="s">
        <v>13</v>
      </c>
      <c r="D40" s="4"/>
      <c r="E40" s="7">
        <f>ROUND((E33+E34+E35+E36+E37+E38+E39)*0.05,2)</f>
        <v>109.96</v>
      </c>
      <c r="F40" s="7"/>
      <c r="G40" s="7">
        <f>ROUND((G33+G34+G35+G36+G37+G38+G39)*0.05,2)</f>
        <v>0</v>
      </c>
      <c r="H40" s="7"/>
      <c r="I40" s="7">
        <f t="shared" ref="I40:Q40" si="24">ROUND((I33+I34+I35+I36+I37+I38+I39)*0.05,2)</f>
        <v>109.96</v>
      </c>
      <c r="J40" s="7"/>
      <c r="K40" s="7">
        <f t="shared" si="24"/>
        <v>122.1</v>
      </c>
      <c r="L40" s="7"/>
      <c r="M40" s="7">
        <f t="shared" si="24"/>
        <v>0</v>
      </c>
      <c r="N40" s="7"/>
      <c r="O40" s="7">
        <f t="shared" si="24"/>
        <v>109.96</v>
      </c>
      <c r="P40" s="7"/>
      <c r="Q40" s="7">
        <f t="shared" si="24"/>
        <v>122.1</v>
      </c>
    </row>
    <row r="41" spans="1:17" x14ac:dyDescent="0.25">
      <c r="A41" s="4"/>
      <c r="B41" s="4"/>
      <c r="C41" s="4" t="s">
        <v>14</v>
      </c>
      <c r="D41" s="4"/>
      <c r="E41" s="3">
        <f>ROUND((E33+E34+E35+E36+E37+E38+E39)*0.01,2)</f>
        <v>21.99</v>
      </c>
      <c r="F41" s="3"/>
      <c r="G41" s="3">
        <f>ROUND((G33+G34+G35+G36+G37+G38+G39)*0.01,2)</f>
        <v>0</v>
      </c>
      <c r="H41" s="3"/>
      <c r="I41" s="3">
        <f t="shared" ref="I41:Q41" si="25">ROUND((I33+I34+I35+I36+I37+I38+I39)*0.01,2)</f>
        <v>21.99</v>
      </c>
      <c r="J41" s="3"/>
      <c r="K41" s="3">
        <f t="shared" si="25"/>
        <v>24.42</v>
      </c>
      <c r="L41" s="3"/>
      <c r="M41" s="3">
        <f t="shared" si="25"/>
        <v>0</v>
      </c>
      <c r="N41" s="3"/>
      <c r="O41" s="3">
        <f t="shared" si="25"/>
        <v>21.99</v>
      </c>
      <c r="P41" s="3"/>
      <c r="Q41" s="3">
        <f t="shared" si="25"/>
        <v>24.42</v>
      </c>
    </row>
    <row r="42" spans="1:17" ht="30" x14ac:dyDescent="0.25">
      <c r="A42" s="4"/>
      <c r="B42" s="4"/>
      <c r="C42" s="6" t="s">
        <v>15</v>
      </c>
      <c r="D42" s="6"/>
      <c r="E42" s="40">
        <f>ROUND((E33+E34+E35+E36+E37+E38+E40+E41+E39)*0.302,2)</f>
        <v>704.03</v>
      </c>
      <c r="F42" s="12"/>
      <c r="G42" s="12">
        <f>ROUND((G33+G34+G35+G36+G37+G38+G40+G41+G39)*0.302,2)</f>
        <v>0</v>
      </c>
      <c r="H42" s="12"/>
      <c r="I42" s="12">
        <f t="shared" ref="I42:Q42" si="26">ROUND((I33+I34+I35+I36+I37+I38+I40+I41+I39)*0.302,2)</f>
        <v>704.03</v>
      </c>
      <c r="J42" s="12"/>
      <c r="K42" s="12">
        <f t="shared" si="26"/>
        <v>781.76</v>
      </c>
      <c r="L42" s="12"/>
      <c r="M42" s="12">
        <f t="shared" si="26"/>
        <v>0</v>
      </c>
      <c r="N42" s="12"/>
      <c r="O42" s="12">
        <f t="shared" si="26"/>
        <v>704.03</v>
      </c>
      <c r="P42" s="12"/>
      <c r="Q42" s="12">
        <f t="shared" si="26"/>
        <v>781.76</v>
      </c>
    </row>
    <row r="43" spans="1:17" ht="55.5" customHeight="1" x14ac:dyDescent="0.25">
      <c r="A43" s="4"/>
      <c r="B43" s="4"/>
      <c r="C43" s="6" t="s">
        <v>24</v>
      </c>
      <c r="D43" s="6"/>
      <c r="E43" s="4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1" t="s">
        <v>16</v>
      </c>
      <c r="D44" s="11"/>
      <c r="E44" s="40">
        <f>E33+E34+E35+E36+E37+E38+E40+E41+E42+E39</f>
        <v>3035.2599999999998</v>
      </c>
      <c r="F44" s="7"/>
      <c r="G44" s="7">
        <f>G33+G34+G35+G36+G37+G38+G40+G41+G42+G39</f>
        <v>0</v>
      </c>
      <c r="H44" s="7"/>
      <c r="I44" s="7">
        <f t="shared" ref="I44:Q44" si="27">I33+I34+I35+I36+I37+I38+I40+I41+I42+I39</f>
        <v>3035.2599999999998</v>
      </c>
      <c r="J44" s="7"/>
      <c r="K44" s="7">
        <f t="shared" si="27"/>
        <v>3370.3700000000003</v>
      </c>
      <c r="L44" s="7"/>
      <c r="M44" s="7">
        <f t="shared" si="27"/>
        <v>0</v>
      </c>
      <c r="N44" s="7"/>
      <c r="O44" s="7">
        <f t="shared" si="27"/>
        <v>3035.2599999999998</v>
      </c>
      <c r="P44" s="7"/>
      <c r="Q44" s="7">
        <f t="shared" si="27"/>
        <v>3370.3700000000003</v>
      </c>
    </row>
    <row r="45" spans="1:17" x14ac:dyDescent="0.25">
      <c r="A45" s="4"/>
      <c r="B45" s="4"/>
      <c r="C45" s="11" t="s">
        <v>17</v>
      </c>
      <c r="D45" s="11"/>
      <c r="E45" s="40">
        <f>ROUND(E44*12,2)</f>
        <v>36423.120000000003</v>
      </c>
      <c r="F45" s="5"/>
      <c r="G45" s="7">
        <f>ROUND(G44*12,2)</f>
        <v>0</v>
      </c>
      <c r="H45" s="7"/>
      <c r="I45" s="7">
        <f t="shared" ref="I45:Q45" si="28">ROUND(I44*12,2)</f>
        <v>36423.120000000003</v>
      </c>
      <c r="J45" s="7"/>
      <c r="K45" s="7">
        <f t="shared" si="28"/>
        <v>40444.44</v>
      </c>
      <c r="L45" s="7"/>
      <c r="M45" s="7">
        <f t="shared" si="28"/>
        <v>0</v>
      </c>
      <c r="N45" s="7"/>
      <c r="O45" s="7">
        <f t="shared" si="28"/>
        <v>36423.120000000003</v>
      </c>
      <c r="P45" s="7"/>
      <c r="Q45" s="7">
        <f t="shared" si="28"/>
        <v>40444.44</v>
      </c>
    </row>
    <row r="46" spans="1:17" ht="65.25" customHeight="1" x14ac:dyDescent="0.25">
      <c r="A46" s="3">
        <v>4</v>
      </c>
      <c r="B46" s="6" t="s">
        <v>20</v>
      </c>
      <c r="C46" s="6" t="s">
        <v>40</v>
      </c>
      <c r="D46" s="6"/>
      <c r="E46" s="40"/>
      <c r="F46" s="5"/>
      <c r="G46" s="7"/>
      <c r="H46" s="3"/>
      <c r="I46" s="7"/>
      <c r="J46" s="3">
        <v>1</v>
      </c>
      <c r="K46" s="7">
        <v>8621</v>
      </c>
      <c r="L46" s="18"/>
      <c r="M46" s="16"/>
      <c r="N46" s="18"/>
      <c r="O46" s="16"/>
      <c r="P46" s="3">
        <v>1</v>
      </c>
      <c r="Q46" s="7">
        <v>8621</v>
      </c>
    </row>
    <row r="47" spans="1:17" ht="45" x14ac:dyDescent="0.25">
      <c r="A47" s="4"/>
      <c r="B47" s="4"/>
      <c r="C47" s="6" t="s">
        <v>47</v>
      </c>
      <c r="D47" s="6"/>
      <c r="E47" s="40"/>
      <c r="F47" s="5"/>
      <c r="G47" s="7"/>
      <c r="H47" s="4"/>
      <c r="I47" s="7"/>
      <c r="J47" s="4"/>
      <c r="K47" s="7">
        <f>ROUND(K46*0.3,2)</f>
        <v>2586.3000000000002</v>
      </c>
      <c r="L47" s="18"/>
      <c r="M47" s="16"/>
      <c r="N47" s="18"/>
      <c r="O47" s="16"/>
      <c r="P47" s="4"/>
      <c r="Q47" s="7">
        <f>ROUND(Q46*0.3,2)</f>
        <v>2586.3000000000002</v>
      </c>
    </row>
    <row r="48" spans="1:17" ht="41.25" customHeight="1" x14ac:dyDescent="0.25">
      <c r="A48" s="4"/>
      <c r="B48" s="4"/>
      <c r="C48" s="6" t="s">
        <v>46</v>
      </c>
      <c r="D48" s="6"/>
      <c r="E48" s="40"/>
      <c r="F48" s="5"/>
      <c r="G48" s="7"/>
      <c r="H48" s="4"/>
      <c r="I48" s="7"/>
      <c r="J48" s="4"/>
      <c r="K48" s="7">
        <f>ROUND((K46+K47)*0.2,2)</f>
        <v>2241.46</v>
      </c>
      <c r="L48" s="18"/>
      <c r="M48" s="16"/>
      <c r="N48" s="18"/>
      <c r="O48" s="16"/>
      <c r="P48" s="4"/>
      <c r="Q48" s="7">
        <f>ROUND((Q46+Q47)*0.2,2)</f>
        <v>2241.46</v>
      </c>
    </row>
    <row r="49" spans="1:17" ht="60" x14ac:dyDescent="0.25">
      <c r="A49" s="4"/>
      <c r="B49" s="4"/>
      <c r="C49" s="6" t="s">
        <v>48</v>
      </c>
      <c r="D49" s="6"/>
      <c r="E49" s="40"/>
      <c r="F49" s="5"/>
      <c r="G49" s="7"/>
      <c r="H49" s="4"/>
      <c r="I49" s="7"/>
      <c r="J49" s="4"/>
      <c r="K49" s="7">
        <f>ROUND((K46+K47)*0.3,2)</f>
        <v>3362.19</v>
      </c>
      <c r="L49" s="18"/>
      <c r="M49" s="16"/>
      <c r="N49" s="18"/>
      <c r="O49" s="16"/>
      <c r="P49" s="4"/>
      <c r="Q49" s="7">
        <f>ROUND((Q46+Q47)*0.3,2)</f>
        <v>3362.19</v>
      </c>
    </row>
    <row r="50" spans="1:17" ht="45" x14ac:dyDescent="0.25">
      <c r="A50" s="4"/>
      <c r="B50" s="4"/>
      <c r="C50" s="6" t="s">
        <v>12</v>
      </c>
      <c r="D50" s="6"/>
      <c r="E50" s="40"/>
      <c r="F50" s="5"/>
      <c r="G50" s="7"/>
      <c r="H50" s="4"/>
      <c r="I50" s="7"/>
      <c r="J50" s="4"/>
      <c r="K50" s="7">
        <f>ROUND((K46+K47)*0.05,2)</f>
        <v>560.37</v>
      </c>
      <c r="L50" s="18"/>
      <c r="M50" s="16"/>
      <c r="N50" s="18"/>
      <c r="O50" s="16"/>
      <c r="P50" s="4"/>
      <c r="Q50" s="7">
        <f>ROUND((Q46+Q47)*0.05,2)</f>
        <v>560.37</v>
      </c>
    </row>
    <row r="51" spans="1:17" ht="45" x14ac:dyDescent="0.25">
      <c r="A51" s="4"/>
      <c r="B51" s="4"/>
      <c r="C51" s="6" t="s">
        <v>49</v>
      </c>
      <c r="D51" s="6"/>
      <c r="E51" s="40"/>
      <c r="F51" s="5"/>
      <c r="G51" s="7"/>
      <c r="H51" s="4"/>
      <c r="I51" s="7"/>
      <c r="J51" s="4"/>
      <c r="K51" s="7">
        <f>ROUND(K46*0.4,2)</f>
        <v>3448.4</v>
      </c>
      <c r="L51" s="18"/>
      <c r="M51" s="16"/>
      <c r="N51" s="18"/>
      <c r="O51" s="16"/>
      <c r="P51" s="4"/>
      <c r="Q51" s="7">
        <f>ROUND(Q46*0.4,2)</f>
        <v>3448.4</v>
      </c>
    </row>
    <row r="52" spans="1:17" ht="39.75" customHeight="1" x14ac:dyDescent="0.25">
      <c r="A52" s="4"/>
      <c r="B52" s="4"/>
      <c r="C52" s="6" t="s">
        <v>50</v>
      </c>
      <c r="D52" s="6"/>
      <c r="E52" s="40"/>
      <c r="F52" s="5"/>
      <c r="G52" s="7"/>
      <c r="H52" s="4"/>
      <c r="I52" s="7"/>
      <c r="J52" s="4"/>
      <c r="K52" s="7">
        <f>ROUND(K46*0.2,2)</f>
        <v>1724.2</v>
      </c>
      <c r="L52" s="18"/>
      <c r="M52" s="16"/>
      <c r="N52" s="18"/>
      <c r="O52" s="16"/>
      <c r="P52" s="4"/>
      <c r="Q52" s="7">
        <f>ROUND(Q46*0.2,2)</f>
        <v>1724.2</v>
      </c>
    </row>
    <row r="53" spans="1:17" x14ac:dyDescent="0.25">
      <c r="A53" s="4"/>
      <c r="B53" s="4"/>
      <c r="C53" s="4" t="s">
        <v>13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1127.2</v>
      </c>
      <c r="L53" s="18"/>
      <c r="M53" s="16"/>
      <c r="N53" s="18"/>
      <c r="O53" s="16"/>
      <c r="P53" s="4"/>
      <c r="Q53" s="7">
        <f>ROUND((Q46+Q47+Q48+Q49+Q50+Q51+Q52)*0.05,2)</f>
        <v>1127.2</v>
      </c>
    </row>
    <row r="54" spans="1:17" ht="24.75" customHeight="1" x14ac:dyDescent="0.25">
      <c r="A54" s="4"/>
      <c r="B54" s="4"/>
      <c r="C54" s="4" t="s">
        <v>14</v>
      </c>
      <c r="D54" s="4"/>
      <c r="E54" s="7"/>
      <c r="F54" s="5"/>
      <c r="G54" s="7"/>
      <c r="H54" s="4"/>
      <c r="I54" s="13"/>
      <c r="J54" s="4"/>
      <c r="K54" s="25">
        <f>ROUND((K46+K47+K48+K49+K50+K51+K52)*0.01,2)</f>
        <v>225.44</v>
      </c>
      <c r="L54" s="18"/>
      <c r="M54" s="16"/>
      <c r="N54" s="18"/>
      <c r="O54" s="16"/>
      <c r="P54" s="4"/>
      <c r="Q54" s="25">
        <f>ROUND((Q46+Q47+Q48+Q49+Q50+Q51+Q52)*0.01,2)</f>
        <v>225.44</v>
      </c>
    </row>
    <row r="55" spans="1:17" ht="30" x14ac:dyDescent="0.25">
      <c r="A55" s="4"/>
      <c r="B55" s="4"/>
      <c r="C55" s="6" t="s">
        <v>15</v>
      </c>
      <c r="D55" s="6"/>
      <c r="E55" s="40"/>
      <c r="F55" s="5"/>
      <c r="G55" s="7"/>
      <c r="H55" s="4"/>
      <c r="I55" s="12"/>
      <c r="J55" s="4"/>
      <c r="K55" s="12">
        <f>ROUND((K46+K47+K48+K49+K50+K51+K53+K54+K52)*0.302,2)</f>
        <v>7216.76</v>
      </c>
      <c r="L55" s="18"/>
      <c r="M55" s="16"/>
      <c r="N55" s="18"/>
      <c r="O55" s="16"/>
      <c r="P55" s="4"/>
      <c r="Q55" s="12">
        <f>ROUND((Q46+Q47+Q48+Q49+Q50+Q51+Q53+Q54+Q52)*0.302,2)</f>
        <v>7216.76</v>
      </c>
    </row>
    <row r="56" spans="1:17" ht="45" x14ac:dyDescent="0.25">
      <c r="A56" s="4"/>
      <c r="B56" s="4"/>
      <c r="C56" s="6" t="s">
        <v>25</v>
      </c>
      <c r="D56" s="6"/>
      <c r="E56" s="40"/>
      <c r="F56" s="5"/>
      <c r="G56" s="7"/>
      <c r="H56" s="4"/>
      <c r="I56" s="7"/>
      <c r="J56" s="4"/>
      <c r="K56" s="7"/>
      <c r="L56" s="18"/>
      <c r="M56" s="16"/>
      <c r="N56" s="18"/>
      <c r="O56" s="16"/>
      <c r="P56" s="4"/>
      <c r="Q56" s="7"/>
    </row>
    <row r="57" spans="1:17" x14ac:dyDescent="0.25">
      <c r="A57" s="4"/>
      <c r="B57" s="4"/>
      <c r="C57" s="11" t="s">
        <v>16</v>
      </c>
      <c r="D57" s="11"/>
      <c r="E57" s="40"/>
      <c r="F57" s="5"/>
      <c r="G57" s="7"/>
      <c r="H57" s="4"/>
      <c r="I57" s="7"/>
      <c r="J57" s="4"/>
      <c r="K57" s="7">
        <f>K46+K47+K48+K49+K50+K51+K53+K54+K55+K52</f>
        <v>31113.319999999996</v>
      </c>
      <c r="L57" s="18"/>
      <c r="M57" s="16"/>
      <c r="N57" s="18"/>
      <c r="O57" s="16"/>
      <c r="P57" s="4"/>
      <c r="Q57" s="7">
        <f>Q46+Q47+Q48+Q49+Q50+Q51+Q53+Q54+Q55+Q52</f>
        <v>31113.319999999996</v>
      </c>
    </row>
    <row r="58" spans="1:17" x14ac:dyDescent="0.25">
      <c r="A58" s="4"/>
      <c r="B58" s="4"/>
      <c r="C58" s="11" t="s">
        <v>17</v>
      </c>
      <c r="D58" s="11"/>
      <c r="E58" s="40"/>
      <c r="F58" s="5"/>
      <c r="G58" s="7"/>
      <c r="H58" s="4"/>
      <c r="I58" s="7"/>
      <c r="J58" s="4"/>
      <c r="K58" s="7">
        <f>ROUND(K57*12,2)</f>
        <v>373359.84</v>
      </c>
      <c r="L58" s="18"/>
      <c r="M58" s="16"/>
      <c r="N58" s="18"/>
      <c r="O58" s="16"/>
      <c r="P58" s="4"/>
      <c r="Q58" s="7">
        <f>ROUND(Q57*12,2)</f>
        <v>373359.84</v>
      </c>
    </row>
    <row r="59" spans="1:17" ht="30" x14ac:dyDescent="0.25">
      <c r="A59" s="3">
        <v>5</v>
      </c>
      <c r="B59" s="6" t="s">
        <v>22</v>
      </c>
      <c r="C59" s="6" t="s">
        <v>11</v>
      </c>
      <c r="D59" s="38">
        <v>8.3000000000000004E-2</v>
      </c>
      <c r="E59" s="40">
        <f>ROUND(7900*D59,2)</f>
        <v>655.7</v>
      </c>
      <c r="F59" s="21">
        <v>8.3000000000000004E-2</v>
      </c>
      <c r="G59" s="7">
        <f>ROUND(7900*F59,2)</f>
        <v>655.7</v>
      </c>
      <c r="H59" s="21">
        <v>8.3000000000000004E-2</v>
      </c>
      <c r="I59" s="7">
        <f>ROUND(7900*H59,2)</f>
        <v>655.7</v>
      </c>
      <c r="J59" s="21">
        <v>8.3000000000000004E-2</v>
      </c>
      <c r="K59" s="7">
        <f>ROUND(7900*J59,2)</f>
        <v>655.7</v>
      </c>
      <c r="L59" s="21">
        <v>8.3000000000000004E-2</v>
      </c>
      <c r="M59" s="16">
        <f>ROUND(7900*L59,2)</f>
        <v>655.7</v>
      </c>
      <c r="N59" s="22">
        <v>8.3000000000000004E-2</v>
      </c>
      <c r="O59" s="16">
        <f>ROUND(7900*N59,2)</f>
        <v>655.7</v>
      </c>
      <c r="P59" s="21">
        <v>8.3000000000000004E-2</v>
      </c>
      <c r="Q59" s="7">
        <f>ROUND(7900*P59,2)</f>
        <v>655.7</v>
      </c>
    </row>
    <row r="60" spans="1:17" ht="45" x14ac:dyDescent="0.25">
      <c r="A60" s="4"/>
      <c r="B60" s="4"/>
      <c r="C60" s="6" t="s">
        <v>52</v>
      </c>
      <c r="D60" s="6"/>
      <c r="E60" s="40">
        <f>ROUND(E59*0.3,2)</f>
        <v>196.71</v>
      </c>
      <c r="F60" s="5"/>
      <c r="G60" s="7">
        <f>ROUND(G59*0.3,2)</f>
        <v>196.71</v>
      </c>
      <c r="H60" s="4"/>
      <c r="I60" s="7">
        <f>ROUND(I59*0.3,2)</f>
        <v>196.71</v>
      </c>
      <c r="J60" s="18"/>
      <c r="K60" s="7">
        <f>ROUND(K59*0.3,2)</f>
        <v>196.71</v>
      </c>
      <c r="L60" s="18"/>
      <c r="M60" s="16">
        <f>ROUND(M59*0.3,2)</f>
        <v>196.71</v>
      </c>
      <c r="N60" s="18"/>
      <c r="O60" s="16">
        <f>ROUND(O59*0.3,2)</f>
        <v>196.71</v>
      </c>
      <c r="P60" s="18"/>
      <c r="Q60" s="7">
        <f>ROUND(Q59*0.3,2)</f>
        <v>196.71</v>
      </c>
    </row>
    <row r="61" spans="1:17" ht="45" x14ac:dyDescent="0.25">
      <c r="A61" s="4"/>
      <c r="B61" s="4"/>
      <c r="C61" s="6" t="s">
        <v>53</v>
      </c>
      <c r="D61" s="6"/>
      <c r="E61" s="40"/>
      <c r="F61" s="5"/>
      <c r="G61" s="7"/>
      <c r="H61" s="4"/>
      <c r="I61" s="7"/>
      <c r="J61" s="18"/>
      <c r="K61" s="7">
        <f>ROUND((K59+K60)*0.2,2)</f>
        <v>170.48</v>
      </c>
      <c r="L61" s="18"/>
      <c r="M61" s="16"/>
      <c r="N61" s="18"/>
      <c r="O61" s="16"/>
      <c r="P61" s="18"/>
      <c r="Q61" s="7">
        <f>ROUND((Q59+Q60)*0.2,2)</f>
        <v>170.48</v>
      </c>
    </row>
    <row r="62" spans="1:17" ht="60" x14ac:dyDescent="0.25">
      <c r="A62" s="4"/>
      <c r="B62" s="4"/>
      <c r="C62" s="6" t="s">
        <v>58</v>
      </c>
      <c r="D62" s="6"/>
      <c r="E62" s="40">
        <f>ROUND((E59+E60)*0.3,2)</f>
        <v>255.72</v>
      </c>
      <c r="F62" s="5"/>
      <c r="G62" s="7">
        <f>ROUND((G59+G60)*0.3,2)</f>
        <v>255.72</v>
      </c>
      <c r="H62" s="4"/>
      <c r="I62" s="7">
        <f>ROUND((I59+I60)*0.3,2)</f>
        <v>255.72</v>
      </c>
      <c r="J62" s="18"/>
      <c r="K62" s="7">
        <f>ROUND((K59+K60)*0.3,2)</f>
        <v>255.72</v>
      </c>
      <c r="L62" s="18"/>
      <c r="M62" s="16">
        <f>ROUND((M59+M60)*0.3,2)</f>
        <v>255.72</v>
      </c>
      <c r="N62" s="18"/>
      <c r="O62" s="16">
        <f>ROUND((O59+O60)*0.3,2)</f>
        <v>255.72</v>
      </c>
      <c r="P62" s="18"/>
      <c r="Q62" s="7">
        <f>ROUND((Q59+Q60)*0.3,2)</f>
        <v>255.72</v>
      </c>
    </row>
    <row r="63" spans="1:17" ht="45" x14ac:dyDescent="0.25">
      <c r="A63" s="4"/>
      <c r="B63" s="4"/>
      <c r="C63" s="6" t="s">
        <v>12</v>
      </c>
      <c r="D63" s="6"/>
      <c r="E63" s="40">
        <f>ROUND((E59+E60)*0.05,2)</f>
        <v>42.62</v>
      </c>
      <c r="F63" s="7"/>
      <c r="G63" s="7">
        <f>ROUND((G59+G60)*0.05,2)</f>
        <v>42.62</v>
      </c>
      <c r="H63" s="7"/>
      <c r="I63" s="7">
        <f>ROUND((I59+I60)*0.05,2)</f>
        <v>42.62</v>
      </c>
      <c r="J63" s="7"/>
      <c r="K63" s="7">
        <f>ROUND((K59+K60)*0.05,2)</f>
        <v>42.62</v>
      </c>
      <c r="L63" s="7"/>
      <c r="M63" s="7">
        <f>ROUND((M59+M60)*0.05,2)</f>
        <v>42.62</v>
      </c>
      <c r="N63" s="7"/>
      <c r="O63" s="7">
        <f>ROUND((O59+O60)*0.05,2)</f>
        <v>42.62</v>
      </c>
      <c r="P63" s="7"/>
      <c r="Q63" s="7">
        <f>ROUND((Q59+Q60)*0.05,2)</f>
        <v>42.62</v>
      </c>
    </row>
    <row r="64" spans="1:17" ht="45" x14ac:dyDescent="0.25">
      <c r="A64" s="4"/>
      <c r="B64" s="4"/>
      <c r="C64" s="6" t="s">
        <v>54</v>
      </c>
      <c r="D64" s="6"/>
      <c r="E64" s="40">
        <f>ROUND(E59*0.4,2)</f>
        <v>262.27999999999997</v>
      </c>
      <c r="F64" s="7"/>
      <c r="G64" s="7">
        <f>ROUND(G59*0.4,2)</f>
        <v>262.27999999999997</v>
      </c>
      <c r="H64" s="7"/>
      <c r="I64" s="7">
        <f t="shared" ref="I64:Q64" si="29">ROUND(I59*0.4,2)</f>
        <v>262.27999999999997</v>
      </c>
      <c r="J64" s="7"/>
      <c r="K64" s="7">
        <f t="shared" si="29"/>
        <v>262.27999999999997</v>
      </c>
      <c r="L64" s="7"/>
      <c r="M64" s="7">
        <f t="shared" si="29"/>
        <v>262.27999999999997</v>
      </c>
      <c r="N64" s="7"/>
      <c r="O64" s="7">
        <f t="shared" si="29"/>
        <v>262.27999999999997</v>
      </c>
      <c r="P64" s="7"/>
      <c r="Q64" s="7">
        <f t="shared" si="29"/>
        <v>262.27999999999997</v>
      </c>
    </row>
    <row r="65" spans="1:17" ht="52.5" customHeight="1" x14ac:dyDescent="0.25">
      <c r="A65" s="4"/>
      <c r="B65" s="4"/>
      <c r="C65" s="6" t="s">
        <v>55</v>
      </c>
      <c r="D65" s="6"/>
      <c r="E65" s="40">
        <f>ROUND(E59*0.2,2)</f>
        <v>131.13999999999999</v>
      </c>
      <c r="F65" s="7"/>
      <c r="G65" s="7">
        <f>ROUND(G59*0.2,2)</f>
        <v>131.13999999999999</v>
      </c>
      <c r="H65" s="7"/>
      <c r="I65" s="7">
        <f>ROUND(I59*0.2,2)</f>
        <v>131.13999999999999</v>
      </c>
      <c r="J65" s="7"/>
      <c r="K65" s="7">
        <f>ROUND(K59*0.2,2)</f>
        <v>131.13999999999999</v>
      </c>
      <c r="L65" s="7"/>
      <c r="M65" s="7">
        <f>ROUND(M59*0.2,2)</f>
        <v>131.13999999999999</v>
      </c>
      <c r="N65" s="7"/>
      <c r="O65" s="7">
        <f>ROUND(O59*0.2,2)</f>
        <v>131.13999999999999</v>
      </c>
      <c r="P65" s="7"/>
      <c r="Q65" s="7">
        <f>ROUND(Q59*0.2,2)</f>
        <v>131.13999999999999</v>
      </c>
    </row>
    <row r="66" spans="1:17" x14ac:dyDescent="0.25">
      <c r="A66" s="4"/>
      <c r="B66" s="4"/>
      <c r="C66" s="4" t="s">
        <v>13</v>
      </c>
      <c r="D66" s="4"/>
      <c r="E66" s="7">
        <f>ROUND((E59+E60+F61+E62+E63+E64+E65)*0.05,2)</f>
        <v>77.209999999999994</v>
      </c>
      <c r="F66" s="7"/>
      <c r="G66" s="7">
        <f>ROUND((G59+G60+H61+G62+G63+G64+G65)*0.05,2)</f>
        <v>77.209999999999994</v>
      </c>
      <c r="H66" s="7"/>
      <c r="I66" s="7">
        <f>ROUND((I59+I60+J61+I62+I63+I64+I65)*0.05,2)</f>
        <v>77.209999999999994</v>
      </c>
      <c r="J66" s="7"/>
      <c r="K66" s="7">
        <f t="shared" ref="K66:Q66" si="30">ROUND((K59+K60+L61+K62+K63+K64+K65)*0.05,2)</f>
        <v>77.209999999999994</v>
      </c>
      <c r="L66" s="7"/>
      <c r="M66" s="7">
        <f t="shared" si="30"/>
        <v>77.209999999999994</v>
      </c>
      <c r="N66" s="7"/>
      <c r="O66" s="7">
        <f t="shared" si="30"/>
        <v>77.209999999999994</v>
      </c>
      <c r="P66" s="7"/>
      <c r="Q66" s="7">
        <f t="shared" si="30"/>
        <v>77.209999999999994</v>
      </c>
    </row>
    <row r="67" spans="1:17" x14ac:dyDescent="0.25">
      <c r="A67" s="4"/>
      <c r="B67" s="4"/>
      <c r="C67" s="4" t="s">
        <v>14</v>
      </c>
      <c r="D67" s="4"/>
      <c r="E67" s="3">
        <f>ROUND((E59+E60+E61+E62+E63+E64+E65)*0.01,2)</f>
        <v>15.44</v>
      </c>
      <c r="F67" s="3"/>
      <c r="G67" s="3">
        <f>ROUND((G59+G60+G61+G62+G63+G64+G65)*0.01,2)</f>
        <v>15.44</v>
      </c>
      <c r="H67" s="3"/>
      <c r="I67" s="3">
        <f>ROUND((I59+I60+I61+I62+I63+I64+I65)*0.01,2)</f>
        <v>15.44</v>
      </c>
      <c r="J67" s="3"/>
      <c r="K67" s="3">
        <f t="shared" ref="K67:Q67" si="31">ROUND((K59+K60+K61+K62+K63+K64+K65)*0.01,2)</f>
        <v>17.149999999999999</v>
      </c>
      <c r="L67" s="3"/>
      <c r="M67" s="3">
        <f t="shared" si="31"/>
        <v>15.44</v>
      </c>
      <c r="N67" s="3"/>
      <c r="O67" s="3">
        <f t="shared" si="31"/>
        <v>15.44</v>
      </c>
      <c r="P67" s="3"/>
      <c r="Q67" s="3">
        <f t="shared" si="31"/>
        <v>17.149999999999999</v>
      </c>
    </row>
    <row r="68" spans="1:17" ht="30" x14ac:dyDescent="0.25">
      <c r="A68" s="4"/>
      <c r="B68" s="4"/>
      <c r="C68" s="6" t="s">
        <v>15</v>
      </c>
      <c r="D68" s="6"/>
      <c r="E68" s="40">
        <f>ROUND((E59+E60+E61+E62+E63+E64+E66+E67+E65)*0.302,2)</f>
        <v>494.32</v>
      </c>
      <c r="F68" s="12"/>
      <c r="G68" s="12">
        <f>ROUND((G59+G60+G61+G62+G63+G64+G66+G67+G65)*0.302,2)</f>
        <v>494.32</v>
      </c>
      <c r="H68" s="12"/>
      <c r="I68" s="12">
        <f>ROUND((I59+I60+I61+I62+I63+I64+I66+I67+I65)*0.302,2)</f>
        <v>494.32</v>
      </c>
      <c r="J68" s="12"/>
      <c r="K68" s="12">
        <f t="shared" ref="K68:Q68" si="32">ROUND((K59+K60+K61+K62+K63+K64+K66+K67+K65)*0.302,2)</f>
        <v>546.32000000000005</v>
      </c>
      <c r="L68" s="12"/>
      <c r="M68" s="12">
        <f t="shared" si="32"/>
        <v>494.32</v>
      </c>
      <c r="N68" s="12"/>
      <c r="O68" s="12">
        <f t="shared" si="32"/>
        <v>494.32</v>
      </c>
      <c r="P68" s="12"/>
      <c r="Q68" s="12">
        <f t="shared" si="32"/>
        <v>546.32000000000005</v>
      </c>
    </row>
    <row r="69" spans="1:17" ht="30" x14ac:dyDescent="0.25">
      <c r="A69" s="4"/>
      <c r="B69" s="4"/>
      <c r="C69" s="6" t="s">
        <v>51</v>
      </c>
      <c r="D69" s="6"/>
      <c r="E69" s="4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1" t="s">
        <v>16</v>
      </c>
      <c r="D70" s="11"/>
      <c r="E70" s="40">
        <f>E59+E60+E61+E62+E63+E64+E66+E67+E68+E65</f>
        <v>2131.14</v>
      </c>
      <c r="F70" s="7"/>
      <c r="G70" s="7">
        <f>G59+G60+G61+G62+G63+G64+G66+G67+G68+G65</f>
        <v>2131.14</v>
      </c>
      <c r="H70" s="7"/>
      <c r="I70" s="7">
        <f>I59+I60+I61+I62+I63+I64+I66+I67+I68+I65</f>
        <v>2131.14</v>
      </c>
      <c r="J70" s="7"/>
      <c r="K70" s="7">
        <f t="shared" ref="K70:Q70" si="33">K59+K60+K61+K62+K63+K64+K66+K67+K68+K65</f>
        <v>2355.33</v>
      </c>
      <c r="L70" s="7"/>
      <c r="M70" s="7">
        <f t="shared" si="33"/>
        <v>2131.14</v>
      </c>
      <c r="N70" s="7"/>
      <c r="O70" s="7">
        <f t="shared" si="33"/>
        <v>2131.14</v>
      </c>
      <c r="P70" s="7"/>
      <c r="Q70" s="7">
        <f t="shared" si="33"/>
        <v>2355.33</v>
      </c>
    </row>
    <row r="71" spans="1:17" x14ac:dyDescent="0.25">
      <c r="A71" s="4"/>
      <c r="B71" s="4"/>
      <c r="C71" s="11" t="s">
        <v>17</v>
      </c>
      <c r="D71" s="11"/>
      <c r="E71" s="40">
        <f>ROUND(E70*12,2)</f>
        <v>25573.68</v>
      </c>
      <c r="F71" s="5"/>
      <c r="G71" s="7">
        <f>ROUND(G70*12,2)</f>
        <v>25573.68</v>
      </c>
      <c r="H71" s="4"/>
      <c r="I71" s="7">
        <f>ROUND(I70*12,2)</f>
        <v>25573.68</v>
      </c>
      <c r="J71" s="18"/>
      <c r="K71" s="7">
        <f>ROUND(K70*12,2)</f>
        <v>28263.96</v>
      </c>
      <c r="L71" s="18"/>
      <c r="M71" s="16">
        <f>ROUND(M70*12,2)</f>
        <v>25573.68</v>
      </c>
      <c r="N71" s="18"/>
      <c r="O71" s="16">
        <f>ROUND(O70*12,2)</f>
        <v>25573.68</v>
      </c>
      <c r="P71" s="18"/>
      <c r="Q71" s="7">
        <f>ROUND(Q70*12,2)</f>
        <v>28263.96</v>
      </c>
    </row>
    <row r="72" spans="1:17" ht="30" x14ac:dyDescent="0.25">
      <c r="A72" s="3">
        <v>6</v>
      </c>
      <c r="B72" s="6" t="s">
        <v>7</v>
      </c>
      <c r="C72" s="6" t="s">
        <v>11</v>
      </c>
      <c r="D72" s="38">
        <v>1</v>
      </c>
      <c r="E72" s="40">
        <f>ROUND(5194*D72,0)</f>
        <v>5194</v>
      </c>
      <c r="F72" s="19">
        <v>1.25</v>
      </c>
      <c r="G72" s="7">
        <f>ROUND(5194*F72,0)</f>
        <v>6493</v>
      </c>
      <c r="H72" s="19">
        <v>1.25</v>
      </c>
      <c r="I72" s="7">
        <f>ROUND(5194*H72,0)</f>
        <v>6493</v>
      </c>
      <c r="J72" s="19">
        <v>1.25</v>
      </c>
      <c r="K72" s="7">
        <f>ROUND(5194*J72,0)</f>
        <v>6493</v>
      </c>
      <c r="L72" s="19">
        <v>1.5</v>
      </c>
      <c r="M72" s="7">
        <f>ROUND(5194*L72,0)</f>
        <v>7791</v>
      </c>
      <c r="N72" s="19">
        <v>1.25</v>
      </c>
      <c r="O72" s="7">
        <f>ROUND(5194*N72,0)</f>
        <v>6493</v>
      </c>
      <c r="P72" s="19">
        <v>1.25</v>
      </c>
      <c r="Q72" s="7">
        <f>ROUND(5194*P72,0)</f>
        <v>6493</v>
      </c>
    </row>
    <row r="73" spans="1:17" ht="30" x14ac:dyDescent="0.25">
      <c r="A73" s="3"/>
      <c r="B73" s="6"/>
      <c r="C73" s="6" t="s">
        <v>56</v>
      </c>
      <c r="D73" s="38"/>
      <c r="E73" s="40"/>
      <c r="F73" s="19"/>
      <c r="G73" s="7"/>
      <c r="H73" s="19"/>
      <c r="I73" s="7"/>
      <c r="J73" s="19"/>
      <c r="K73" s="7">
        <f>ROUND(K72*0.2,2)</f>
        <v>1298.5999999999999</v>
      </c>
      <c r="L73" s="19"/>
      <c r="M73" s="16"/>
      <c r="N73" s="19"/>
      <c r="O73" s="16"/>
      <c r="P73" s="19"/>
      <c r="Q73" s="7">
        <f>ROUND(Q72*0.2,2)</f>
        <v>1298.5999999999999</v>
      </c>
    </row>
    <row r="74" spans="1:17" ht="45" x14ac:dyDescent="0.25">
      <c r="A74" s="4"/>
      <c r="B74" s="4"/>
      <c r="C74" s="6" t="s">
        <v>57</v>
      </c>
      <c r="D74" s="38"/>
      <c r="E74" s="40">
        <f>ROUND(E72*0.3,0)</f>
        <v>1558</v>
      </c>
      <c r="F74" s="4"/>
      <c r="G74" s="7">
        <f>ROUND(G72*0.3,0)</f>
        <v>1948</v>
      </c>
      <c r="H74" s="4"/>
      <c r="I74" s="7">
        <f>ROUND(I72*0.3,0)</f>
        <v>1948</v>
      </c>
      <c r="J74" s="18"/>
      <c r="K74" s="7">
        <f>ROUND(K72*0.3,0)</f>
        <v>1948</v>
      </c>
      <c r="L74" s="18"/>
      <c r="M74" s="16">
        <f>ROUND(M72*0.3,0)</f>
        <v>2337</v>
      </c>
      <c r="N74" s="18"/>
      <c r="O74" s="16">
        <f>ROUND(O72*0.3,0)</f>
        <v>1948</v>
      </c>
      <c r="P74" s="18"/>
      <c r="Q74" s="7">
        <f>ROUND(Q72*0.3,0)</f>
        <v>1948</v>
      </c>
    </row>
    <row r="75" spans="1:17" ht="45" x14ac:dyDescent="0.25">
      <c r="A75" s="4"/>
      <c r="B75" s="4"/>
      <c r="C75" s="6" t="s">
        <v>12</v>
      </c>
      <c r="D75" s="38"/>
      <c r="E75" s="40">
        <f t="shared" ref="E75" si="34">ROUND((E72)*0.05,2)</f>
        <v>259.7</v>
      </c>
      <c r="F75" s="7"/>
      <c r="G75" s="7">
        <f t="shared" ref="G75:Q75" si="35">ROUND((G72)*0.05,2)</f>
        <v>324.64999999999998</v>
      </c>
      <c r="H75" s="7"/>
      <c r="I75" s="7">
        <f t="shared" si="35"/>
        <v>324.64999999999998</v>
      </c>
      <c r="J75" s="7"/>
      <c r="K75" s="7">
        <f t="shared" si="35"/>
        <v>324.64999999999998</v>
      </c>
      <c r="L75" s="7"/>
      <c r="M75" s="7">
        <f t="shared" si="35"/>
        <v>389.55</v>
      </c>
      <c r="N75" s="7"/>
      <c r="O75" s="7">
        <f t="shared" si="35"/>
        <v>324.64999999999998</v>
      </c>
      <c r="P75" s="7"/>
      <c r="Q75" s="7">
        <f t="shared" si="35"/>
        <v>324.64999999999998</v>
      </c>
    </row>
    <row r="76" spans="1:17" ht="30.75" customHeight="1" x14ac:dyDescent="0.25">
      <c r="A76" s="4"/>
      <c r="B76" s="4"/>
      <c r="C76" s="6" t="s">
        <v>37</v>
      </c>
      <c r="D76" s="38"/>
      <c r="E76" s="40">
        <f t="shared" ref="E76" si="36">ROUND(E72*0.2,2)</f>
        <v>1038.8</v>
      </c>
      <c r="F76" s="7"/>
      <c r="G76" s="7">
        <f t="shared" ref="G76:Q76" si="37">ROUND(G72*0.2,2)</f>
        <v>1298.5999999999999</v>
      </c>
      <c r="H76" s="7"/>
      <c r="I76" s="7">
        <f t="shared" si="37"/>
        <v>1298.5999999999999</v>
      </c>
      <c r="J76" s="7"/>
      <c r="K76" s="7">
        <f t="shared" si="37"/>
        <v>1298.5999999999999</v>
      </c>
      <c r="L76" s="7"/>
      <c r="M76" s="7">
        <f t="shared" si="37"/>
        <v>1558.2</v>
      </c>
      <c r="N76" s="7"/>
      <c r="O76" s="7">
        <f t="shared" si="37"/>
        <v>1298.5999999999999</v>
      </c>
      <c r="P76" s="7"/>
      <c r="Q76" s="7">
        <f t="shared" si="37"/>
        <v>1298.5999999999999</v>
      </c>
    </row>
    <row r="77" spans="1:17" x14ac:dyDescent="0.25">
      <c r="A77" s="4"/>
      <c r="B77" s="4"/>
      <c r="C77" s="4" t="s">
        <v>13</v>
      </c>
      <c r="D77" s="3"/>
      <c r="E77" s="7">
        <f t="shared" ref="E77" si="38">ROUND((E72+E73+E74+E75+E76)*0.05,0)</f>
        <v>403</v>
      </c>
      <c r="F77" s="7"/>
      <c r="G77" s="7">
        <f t="shared" ref="G77:Q77" si="39">ROUND((G72+G73+G74+G75+G76)*0.05,0)</f>
        <v>503</v>
      </c>
      <c r="H77" s="7"/>
      <c r="I77" s="7">
        <f t="shared" si="39"/>
        <v>503</v>
      </c>
      <c r="J77" s="7"/>
      <c r="K77" s="7">
        <f t="shared" si="39"/>
        <v>568</v>
      </c>
      <c r="L77" s="7"/>
      <c r="M77" s="7">
        <f t="shared" si="39"/>
        <v>604</v>
      </c>
      <c r="N77" s="7"/>
      <c r="O77" s="7">
        <f t="shared" si="39"/>
        <v>503</v>
      </c>
      <c r="P77" s="7"/>
      <c r="Q77" s="7">
        <f t="shared" si="39"/>
        <v>568</v>
      </c>
    </row>
    <row r="78" spans="1:17" x14ac:dyDescent="0.25">
      <c r="A78" s="4"/>
      <c r="B78" s="4"/>
      <c r="C78" s="4" t="s">
        <v>14</v>
      </c>
      <c r="D78" s="3"/>
      <c r="E78" s="7">
        <f t="shared" ref="E78" si="40">ROUND((E72+E73+E74+E75+E76)*0.01,2)</f>
        <v>80.510000000000005</v>
      </c>
      <c r="F78" s="7"/>
      <c r="G78" s="7">
        <f t="shared" ref="G78:Q78" si="41">ROUND((G72+G73+G74+G75+G76)*0.01,2)</f>
        <v>100.64</v>
      </c>
      <c r="H78" s="7"/>
      <c r="I78" s="7">
        <f t="shared" si="41"/>
        <v>100.64</v>
      </c>
      <c r="J78" s="7"/>
      <c r="K78" s="7">
        <f t="shared" si="41"/>
        <v>113.63</v>
      </c>
      <c r="L78" s="7"/>
      <c r="M78" s="7">
        <f t="shared" si="41"/>
        <v>120.76</v>
      </c>
      <c r="N78" s="7"/>
      <c r="O78" s="7">
        <f t="shared" si="41"/>
        <v>100.64</v>
      </c>
      <c r="P78" s="7"/>
      <c r="Q78" s="7">
        <f t="shared" si="41"/>
        <v>113.63</v>
      </c>
    </row>
    <row r="79" spans="1:17" x14ac:dyDescent="0.25">
      <c r="A79" s="4"/>
      <c r="B79" s="4"/>
      <c r="C79" s="4" t="s">
        <v>35</v>
      </c>
      <c r="D79" s="3"/>
      <c r="E79" s="7">
        <f t="shared" ref="E79:Q79" si="42">ROUND((9489-(E72+E73+E74+E75+E77+E76)/D72)*D72,2)</f>
        <v>1035.5</v>
      </c>
      <c r="F79" s="7"/>
      <c r="G79" s="7">
        <f t="shared" si="42"/>
        <v>1294</v>
      </c>
      <c r="H79" s="7"/>
      <c r="I79" s="7">
        <f t="shared" si="42"/>
        <v>1294</v>
      </c>
      <c r="J79" s="7"/>
      <c r="K79" s="7">
        <f t="shared" si="42"/>
        <v>-69.599999999999994</v>
      </c>
      <c r="L79" s="7"/>
      <c r="M79" s="7">
        <f t="shared" si="42"/>
        <v>1553.75</v>
      </c>
      <c r="N79" s="7"/>
      <c r="O79" s="7">
        <f t="shared" si="42"/>
        <v>1294</v>
      </c>
      <c r="P79" s="7"/>
      <c r="Q79" s="7">
        <f t="shared" si="42"/>
        <v>-69.599999999999994</v>
      </c>
    </row>
    <row r="80" spans="1:17" x14ac:dyDescent="0.25">
      <c r="A80" s="4"/>
      <c r="B80" s="4"/>
      <c r="C80" s="4" t="s">
        <v>36</v>
      </c>
      <c r="D80" s="3"/>
      <c r="E80" s="7">
        <f t="shared" ref="E80:Q80" si="43">ROUND(9489/29.3*28*D72/365*28,2)</f>
        <v>695.63</v>
      </c>
      <c r="F80" s="7"/>
      <c r="G80" s="7">
        <f t="shared" si="43"/>
        <v>869.53</v>
      </c>
      <c r="H80" s="7"/>
      <c r="I80" s="7">
        <f t="shared" si="43"/>
        <v>869.53</v>
      </c>
      <c r="J80" s="7"/>
      <c r="K80" s="7">
        <f t="shared" si="43"/>
        <v>869.53</v>
      </c>
      <c r="L80" s="7"/>
      <c r="M80" s="7">
        <f t="shared" si="43"/>
        <v>1043.44</v>
      </c>
      <c r="N80" s="7"/>
      <c r="O80" s="7">
        <f t="shared" si="43"/>
        <v>869.53</v>
      </c>
      <c r="P80" s="7"/>
      <c r="Q80" s="7">
        <f t="shared" si="43"/>
        <v>869.53</v>
      </c>
    </row>
    <row r="81" spans="1:17" ht="30" x14ac:dyDescent="0.25">
      <c r="A81" s="4"/>
      <c r="B81" s="4"/>
      <c r="C81" s="6" t="s">
        <v>15</v>
      </c>
      <c r="D81" s="38"/>
      <c r="E81" s="40">
        <f t="shared" ref="E81" si="44">ROUND((E72+E73+E74+E75+E77+E78+E79+E80+E76)*0.302,0)</f>
        <v>3100</v>
      </c>
      <c r="F81" s="7"/>
      <c r="G81" s="7">
        <f t="shared" ref="G81:Q81" si="45">ROUND((G72+G73+G74+G75+G77+G78+G79+G80+G76)*0.302,0)</f>
        <v>3875</v>
      </c>
      <c r="H81" s="7"/>
      <c r="I81" s="7">
        <f t="shared" si="45"/>
        <v>3875</v>
      </c>
      <c r="J81" s="7"/>
      <c r="K81" s="7">
        <f t="shared" si="45"/>
        <v>3879</v>
      </c>
      <c r="L81" s="7"/>
      <c r="M81" s="7">
        <f t="shared" si="45"/>
        <v>4650</v>
      </c>
      <c r="N81" s="7"/>
      <c r="O81" s="7">
        <f t="shared" si="45"/>
        <v>3875</v>
      </c>
      <c r="P81" s="7"/>
      <c r="Q81" s="7">
        <f t="shared" si="45"/>
        <v>3879</v>
      </c>
    </row>
    <row r="82" spans="1:17" ht="30" x14ac:dyDescent="0.25">
      <c r="A82" s="4"/>
      <c r="B82" s="4"/>
      <c r="C82" s="6" t="s">
        <v>27</v>
      </c>
      <c r="D82" s="38"/>
      <c r="E82" s="4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1" t="s">
        <v>16</v>
      </c>
      <c r="D83" s="39"/>
      <c r="E83" s="40">
        <f t="shared" ref="E83" si="46">E72+E73+E74+E75+E77+E78+E81+E79+E80+E76</f>
        <v>13365.139999999998</v>
      </c>
      <c r="F83" s="7"/>
      <c r="G83" s="7">
        <f t="shared" ref="G83:Q83" si="47">G72+G73+G74+G75+G77+G78+G81+G79+G80+G76</f>
        <v>16706.419999999998</v>
      </c>
      <c r="H83" s="7"/>
      <c r="I83" s="7">
        <f t="shared" si="47"/>
        <v>16706.419999999998</v>
      </c>
      <c r="J83" s="7"/>
      <c r="K83" s="7">
        <f t="shared" si="47"/>
        <v>16723.41</v>
      </c>
      <c r="L83" s="7"/>
      <c r="M83" s="7">
        <f t="shared" si="47"/>
        <v>20047.699999999997</v>
      </c>
      <c r="N83" s="7"/>
      <c r="O83" s="7">
        <f t="shared" si="47"/>
        <v>16706.419999999998</v>
      </c>
      <c r="P83" s="7"/>
      <c r="Q83" s="7">
        <f t="shared" si="47"/>
        <v>16723.41</v>
      </c>
    </row>
    <row r="84" spans="1:17" x14ac:dyDescent="0.25">
      <c r="A84" s="4"/>
      <c r="B84" s="4"/>
      <c r="C84" s="11" t="s">
        <v>17</v>
      </c>
      <c r="D84" s="39"/>
      <c r="E84" s="40">
        <f>ROUND(E83*12,0)</f>
        <v>160382</v>
      </c>
      <c r="F84" s="4"/>
      <c r="G84" s="7">
        <f>ROUND(G83*12,0)</f>
        <v>200477</v>
      </c>
      <c r="H84" s="4"/>
      <c r="I84" s="7">
        <f>ROUND(I83*12,0)</f>
        <v>200477</v>
      </c>
      <c r="J84" s="18"/>
      <c r="K84" s="7">
        <f>ROUND(K83*12,0)</f>
        <v>200681</v>
      </c>
      <c r="L84" s="18"/>
      <c r="M84" s="16">
        <f>ROUND(M83*12,0)</f>
        <v>240572</v>
      </c>
      <c r="N84" s="18"/>
      <c r="O84" s="16">
        <f>ROUND(O83*12,0)</f>
        <v>200477</v>
      </c>
      <c r="P84" s="18"/>
      <c r="Q84" s="7">
        <f>ROUND(Q83*12,0)</f>
        <v>200681</v>
      </c>
    </row>
    <row r="85" spans="1:17" ht="45.75" customHeight="1" x14ac:dyDescent="0.25">
      <c r="A85" s="3">
        <v>7</v>
      </c>
      <c r="B85" s="6" t="s">
        <v>39</v>
      </c>
      <c r="C85" s="6" t="s">
        <v>40</v>
      </c>
      <c r="D85" s="38">
        <v>1</v>
      </c>
      <c r="E85" s="40">
        <f>ROUND(3880*D85,0)</f>
        <v>3880</v>
      </c>
      <c r="F85" s="19">
        <v>1</v>
      </c>
      <c r="G85" s="7">
        <f>ROUND(3880*F85,0)</f>
        <v>3880</v>
      </c>
      <c r="H85" s="19">
        <v>1</v>
      </c>
      <c r="I85" s="7">
        <f>ROUND(3880*H85,0)</f>
        <v>3880</v>
      </c>
      <c r="J85" s="19">
        <v>1</v>
      </c>
      <c r="K85" s="7">
        <f>ROUND(3880*J85,0)</f>
        <v>3880</v>
      </c>
      <c r="L85" s="19">
        <v>1</v>
      </c>
      <c r="M85" s="7">
        <f>ROUND(3880*L85,0)</f>
        <v>3880</v>
      </c>
      <c r="N85" s="19">
        <v>1</v>
      </c>
      <c r="O85" s="7">
        <f>ROUND(3880*N85,0)</f>
        <v>3880</v>
      </c>
      <c r="P85" s="19">
        <v>1</v>
      </c>
      <c r="Q85" s="7">
        <f>ROUND(3880*P85,0)</f>
        <v>3880</v>
      </c>
    </row>
    <row r="86" spans="1:17" ht="45" x14ac:dyDescent="0.25">
      <c r="A86" s="4"/>
      <c r="B86" s="4"/>
      <c r="C86" s="6" t="s">
        <v>12</v>
      </c>
      <c r="D86" s="6"/>
      <c r="E86" s="40">
        <f t="shared" ref="E86" si="48">ROUND((E85)*0.05,2)</f>
        <v>194</v>
      </c>
      <c r="F86" s="7"/>
      <c r="G86" s="7">
        <f t="shared" ref="G86:Q86" si="49">ROUND((G85)*0.05,2)</f>
        <v>194</v>
      </c>
      <c r="H86" s="7"/>
      <c r="I86" s="7">
        <f t="shared" si="49"/>
        <v>194</v>
      </c>
      <c r="J86" s="7"/>
      <c r="K86" s="7">
        <f t="shared" si="49"/>
        <v>194</v>
      </c>
      <c r="L86" s="7"/>
      <c r="M86" s="7">
        <f t="shared" si="49"/>
        <v>194</v>
      </c>
      <c r="N86" s="7"/>
      <c r="O86" s="7">
        <f t="shared" si="49"/>
        <v>194</v>
      </c>
      <c r="P86" s="7"/>
      <c r="Q86" s="7">
        <f t="shared" si="49"/>
        <v>194</v>
      </c>
    </row>
    <row r="87" spans="1:17" ht="30.75" customHeight="1" x14ac:dyDescent="0.25">
      <c r="A87" s="4"/>
      <c r="B87" s="4"/>
      <c r="C87" s="6" t="s">
        <v>41</v>
      </c>
      <c r="D87" s="6"/>
      <c r="E87" s="40">
        <f t="shared" ref="E87" si="50">ROUND(E85*0.2,2)</f>
        <v>776</v>
      </c>
      <c r="F87" s="7"/>
      <c r="G87" s="7">
        <f t="shared" ref="G87:Q87" si="51">ROUND(G85*0.2,2)</f>
        <v>776</v>
      </c>
      <c r="H87" s="7"/>
      <c r="I87" s="7">
        <f t="shared" si="51"/>
        <v>776</v>
      </c>
      <c r="J87" s="7"/>
      <c r="K87" s="7">
        <f t="shared" si="51"/>
        <v>776</v>
      </c>
      <c r="L87" s="7"/>
      <c r="M87" s="7">
        <f t="shared" si="51"/>
        <v>776</v>
      </c>
      <c r="N87" s="7"/>
      <c r="O87" s="7">
        <f t="shared" si="51"/>
        <v>776</v>
      </c>
      <c r="P87" s="7"/>
      <c r="Q87" s="7">
        <f t="shared" si="51"/>
        <v>776</v>
      </c>
    </row>
    <row r="88" spans="1:17" x14ac:dyDescent="0.25">
      <c r="A88" s="4"/>
      <c r="B88" s="4"/>
      <c r="C88" s="4" t="s">
        <v>13</v>
      </c>
      <c r="D88" s="4"/>
      <c r="E88" s="7">
        <f t="shared" ref="E88" si="52">ROUND((E85+E86+E87)*0.05,0)</f>
        <v>243</v>
      </c>
      <c r="F88" s="7"/>
      <c r="G88" s="7">
        <f t="shared" ref="G88:Q88" si="53">ROUND((G85+G86+G87)*0.05,0)</f>
        <v>243</v>
      </c>
      <c r="H88" s="7"/>
      <c r="I88" s="7">
        <f t="shared" si="53"/>
        <v>243</v>
      </c>
      <c r="J88" s="7"/>
      <c r="K88" s="7">
        <f t="shared" si="53"/>
        <v>243</v>
      </c>
      <c r="L88" s="7"/>
      <c r="M88" s="7">
        <f t="shared" si="53"/>
        <v>243</v>
      </c>
      <c r="N88" s="7"/>
      <c r="O88" s="7">
        <f t="shared" si="53"/>
        <v>243</v>
      </c>
      <c r="P88" s="7"/>
      <c r="Q88" s="7">
        <f t="shared" si="53"/>
        <v>243</v>
      </c>
    </row>
    <row r="89" spans="1:17" x14ac:dyDescent="0.25">
      <c r="A89" s="4"/>
      <c r="B89" s="4"/>
      <c r="C89" s="4" t="s">
        <v>14</v>
      </c>
      <c r="D89" s="4"/>
      <c r="E89" s="7">
        <f t="shared" ref="E89" si="54">ROUND((E85+E86+E87)*0.01,2)</f>
        <v>48.5</v>
      </c>
      <c r="F89" s="7"/>
      <c r="G89" s="7">
        <f t="shared" ref="G89:Q89" si="55">ROUND((G85+G86+G87)*0.01,2)</f>
        <v>48.5</v>
      </c>
      <c r="H89" s="7"/>
      <c r="I89" s="7">
        <f t="shared" si="55"/>
        <v>48.5</v>
      </c>
      <c r="J89" s="7"/>
      <c r="K89" s="7">
        <f t="shared" si="55"/>
        <v>48.5</v>
      </c>
      <c r="L89" s="7"/>
      <c r="M89" s="7">
        <f t="shared" si="55"/>
        <v>48.5</v>
      </c>
      <c r="N89" s="7"/>
      <c r="O89" s="7">
        <f t="shared" si="55"/>
        <v>48.5</v>
      </c>
      <c r="P89" s="7"/>
      <c r="Q89" s="7">
        <f t="shared" si="55"/>
        <v>48.5</v>
      </c>
    </row>
    <row r="90" spans="1:17" x14ac:dyDescent="0.25">
      <c r="A90" s="4"/>
      <c r="B90" s="4"/>
      <c r="C90" s="4" t="s">
        <v>35</v>
      </c>
      <c r="D90" s="4"/>
      <c r="E90" s="7">
        <f t="shared" ref="E90:Q90" si="56">ROUND((9489-(E85+E86+E88+E87)/D85)*D85,2)</f>
        <v>4396</v>
      </c>
      <c r="F90" s="7"/>
      <c r="G90" s="7">
        <f t="shared" si="56"/>
        <v>4396</v>
      </c>
      <c r="H90" s="7"/>
      <c r="I90" s="7">
        <f t="shared" si="56"/>
        <v>4396</v>
      </c>
      <c r="J90" s="7"/>
      <c r="K90" s="7">
        <f t="shared" si="56"/>
        <v>4396</v>
      </c>
      <c r="L90" s="7"/>
      <c r="M90" s="7">
        <f t="shared" si="56"/>
        <v>4396</v>
      </c>
      <c r="N90" s="7"/>
      <c r="O90" s="7">
        <f t="shared" si="56"/>
        <v>4396</v>
      </c>
      <c r="P90" s="7"/>
      <c r="Q90" s="7">
        <f t="shared" si="56"/>
        <v>4396</v>
      </c>
    </row>
    <row r="91" spans="1:17" x14ac:dyDescent="0.25">
      <c r="A91" s="4"/>
      <c r="B91" s="4"/>
      <c r="C91" s="4" t="s">
        <v>36</v>
      </c>
      <c r="D91" s="4"/>
      <c r="E91" s="7">
        <f t="shared" ref="E91:Q91" si="57">ROUND(9489/29.3*28*D85/365*28,2)</f>
        <v>695.63</v>
      </c>
      <c r="F91" s="7"/>
      <c r="G91" s="7">
        <f t="shared" si="57"/>
        <v>695.63</v>
      </c>
      <c r="H91" s="7"/>
      <c r="I91" s="7">
        <f t="shared" si="57"/>
        <v>695.63</v>
      </c>
      <c r="J91" s="7"/>
      <c r="K91" s="7">
        <f t="shared" si="57"/>
        <v>695.63</v>
      </c>
      <c r="L91" s="7"/>
      <c r="M91" s="7">
        <f t="shared" si="57"/>
        <v>695.63</v>
      </c>
      <c r="N91" s="7"/>
      <c r="O91" s="7">
        <f t="shared" si="57"/>
        <v>695.63</v>
      </c>
      <c r="P91" s="7"/>
      <c r="Q91" s="7">
        <f t="shared" si="57"/>
        <v>695.63</v>
      </c>
    </row>
    <row r="92" spans="1:17" ht="30" x14ac:dyDescent="0.25">
      <c r="A92" s="4"/>
      <c r="B92" s="4"/>
      <c r="C92" s="6" t="s">
        <v>15</v>
      </c>
      <c r="D92" s="6"/>
      <c r="E92" s="40">
        <f t="shared" ref="E92" si="58">ROUND((E85+E86+E88+E89+E90+E91+E87)*0.302,0)</f>
        <v>3090</v>
      </c>
      <c r="F92" s="7"/>
      <c r="G92" s="7">
        <f t="shared" ref="G92:Q92" si="59">ROUND((G85+G86+G88+G89+G90+G91+G87)*0.302,0)</f>
        <v>3090</v>
      </c>
      <c r="H92" s="7"/>
      <c r="I92" s="7">
        <f t="shared" si="59"/>
        <v>3090</v>
      </c>
      <c r="J92" s="7"/>
      <c r="K92" s="7">
        <f t="shared" si="59"/>
        <v>3090</v>
      </c>
      <c r="L92" s="7"/>
      <c r="M92" s="7">
        <f t="shared" si="59"/>
        <v>3090</v>
      </c>
      <c r="N92" s="7"/>
      <c r="O92" s="7">
        <f t="shared" si="59"/>
        <v>3090</v>
      </c>
      <c r="P92" s="7"/>
      <c r="Q92" s="7">
        <f t="shared" si="59"/>
        <v>3090</v>
      </c>
    </row>
    <row r="93" spans="1:17" ht="30" x14ac:dyDescent="0.25">
      <c r="A93" s="4"/>
      <c r="B93" s="4"/>
      <c r="C93" s="6" t="s">
        <v>42</v>
      </c>
      <c r="D93" s="6"/>
      <c r="E93" s="4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1" t="s">
        <v>16</v>
      </c>
      <c r="D94" s="11"/>
      <c r="E94" s="40">
        <f t="shared" ref="E94" si="60">E85+E86+E88+E89+E92+E90+E91+E87</f>
        <v>13323.13</v>
      </c>
      <c r="F94" s="7"/>
      <c r="G94" s="7">
        <f t="shared" ref="G94:Q94" si="61">G85+G86+G88+G89+G92+G90+G91+G87</f>
        <v>13323.13</v>
      </c>
      <c r="H94" s="7"/>
      <c r="I94" s="7">
        <f t="shared" si="61"/>
        <v>13323.13</v>
      </c>
      <c r="J94" s="7"/>
      <c r="K94" s="7">
        <f t="shared" si="61"/>
        <v>13323.13</v>
      </c>
      <c r="L94" s="7"/>
      <c r="M94" s="7">
        <f t="shared" si="61"/>
        <v>13323.13</v>
      </c>
      <c r="N94" s="7"/>
      <c r="O94" s="7">
        <f t="shared" si="61"/>
        <v>13323.13</v>
      </c>
      <c r="P94" s="7"/>
      <c r="Q94" s="7">
        <f t="shared" si="61"/>
        <v>13323.13</v>
      </c>
    </row>
    <row r="95" spans="1:17" x14ac:dyDescent="0.25">
      <c r="A95" s="4"/>
      <c r="B95" s="4"/>
      <c r="C95" s="11" t="s">
        <v>17</v>
      </c>
      <c r="D95" s="11"/>
      <c r="E95" s="40">
        <f t="shared" ref="E95" si="62">ROUND(E94*12,0)</f>
        <v>159878</v>
      </c>
      <c r="F95" s="7"/>
      <c r="G95" s="7">
        <f t="shared" ref="G95:Q95" si="63">ROUND(G94*12,0)</f>
        <v>159878</v>
      </c>
      <c r="H95" s="7"/>
      <c r="I95" s="7">
        <f t="shared" si="63"/>
        <v>159878</v>
      </c>
      <c r="J95" s="7"/>
      <c r="K95" s="7">
        <f t="shared" si="63"/>
        <v>159878</v>
      </c>
      <c r="L95" s="7"/>
      <c r="M95" s="7">
        <f t="shared" si="63"/>
        <v>159878</v>
      </c>
      <c r="N95" s="7"/>
      <c r="O95" s="7">
        <f t="shared" si="63"/>
        <v>159878</v>
      </c>
      <c r="P95" s="7"/>
      <c r="Q95" s="7">
        <f t="shared" si="63"/>
        <v>159878</v>
      </c>
    </row>
    <row r="96" spans="1:17" ht="19.5" customHeight="1" x14ac:dyDescent="0.25">
      <c r="A96" s="4"/>
      <c r="B96" s="62" t="s">
        <v>32</v>
      </c>
      <c r="C96" s="63"/>
      <c r="D96" s="33"/>
      <c r="E96" s="36"/>
      <c r="F96" s="4"/>
      <c r="G96" s="4"/>
      <c r="H96" s="4"/>
      <c r="I96" s="4"/>
      <c r="J96" s="4"/>
      <c r="K96" s="4"/>
      <c r="L96" s="4"/>
      <c r="M96" s="18"/>
      <c r="N96" s="18"/>
      <c r="O96" s="18"/>
      <c r="P96" s="4"/>
      <c r="Q96" s="4"/>
    </row>
    <row r="97" spans="1:19" ht="48.75" customHeight="1" x14ac:dyDescent="0.25">
      <c r="A97" s="4"/>
      <c r="B97" s="6"/>
      <c r="C97" s="6" t="s">
        <v>61</v>
      </c>
      <c r="D97" s="6"/>
      <c r="E97" s="40">
        <f>ROUND((E18+E32+E45+E58+E71+E84+E95)*0.192,2)</f>
        <v>174214.43</v>
      </c>
      <c r="F97" s="7"/>
      <c r="G97" s="7">
        <f>ROUND((G18+G32+G45+G58+G71+G84+G95)*0.192,2)</f>
        <v>184644.89</v>
      </c>
      <c r="H97" s="7"/>
      <c r="I97" s="7">
        <f>ROUND((I18+I32+I45+I58+I71+I84+I95)*0.192,2)</f>
        <v>191638.13</v>
      </c>
      <c r="J97" s="7"/>
      <c r="K97" s="7">
        <f>ROUND((K18+K32+K45+K58+K71+K84+K95)*0.192,2)</f>
        <v>322155.56</v>
      </c>
      <c r="L97" s="7"/>
      <c r="M97" s="7">
        <f>ROUND((M18+M32+M45+M58+M71+M84+M95)*0.192,2)</f>
        <v>234718.42</v>
      </c>
      <c r="N97" s="7"/>
      <c r="O97" s="7">
        <f>ROUND((O18+O32+O45+O58+O71+O84+O95)*0.192,2)</f>
        <v>234013.42</v>
      </c>
      <c r="P97" s="7"/>
      <c r="Q97" s="7">
        <f>ROUND((Q18+Q32+Q45+Q58+Q71+Q84+Q95)*0.192,2)</f>
        <v>352659.65</v>
      </c>
    </row>
    <row r="98" spans="1:19" ht="64.5" customHeight="1" x14ac:dyDescent="0.25">
      <c r="A98" s="4"/>
      <c r="B98" s="47" t="s">
        <v>34</v>
      </c>
      <c r="C98" s="48"/>
      <c r="D98" s="34"/>
      <c r="E98" s="4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63</v>
      </c>
      <c r="D99" s="6"/>
      <c r="E99" s="40">
        <f>ROUND((E18+E32+E45+E58+E71+E84+E95)*0.028,2)</f>
        <v>25406.27</v>
      </c>
      <c r="F99" s="7"/>
      <c r="G99" s="7">
        <f>ROUND((G18+G32+G45+G58+G71+G84+G95)*0.028,2)</f>
        <v>26927.38</v>
      </c>
      <c r="H99" s="7"/>
      <c r="I99" s="7">
        <f>ROUND((I18+I32+I45+I58+I71+I84+I95)*0.028,2)</f>
        <v>27947.23</v>
      </c>
      <c r="J99" s="7"/>
      <c r="K99" s="7">
        <f>ROUND((K18+K32+K45+K58+K71+K84+K95)*0.028,2)</f>
        <v>46981.02</v>
      </c>
      <c r="L99" s="7"/>
      <c r="M99" s="7">
        <f>ROUND((M18+M32+M45+M58+M71+M84+M95)*0.028,2)</f>
        <v>34229.769999999997</v>
      </c>
      <c r="N99" s="7"/>
      <c r="O99" s="7">
        <f>ROUND((O18+O32+O45+O58+O71+O84+O95)*0.028,2)</f>
        <v>34126.959999999999</v>
      </c>
      <c r="P99" s="7"/>
      <c r="Q99" s="7">
        <f>ROUND((Q18+Q32+Q45+Q58+Q71+Q84+Q95)*0.028,2)</f>
        <v>51429.53</v>
      </c>
    </row>
    <row r="100" spans="1:19" ht="66.75" customHeight="1" x14ac:dyDescent="0.25">
      <c r="A100" s="4"/>
      <c r="B100" s="47" t="s">
        <v>38</v>
      </c>
      <c r="C100" s="48"/>
      <c r="D100" s="34"/>
      <c r="E100" s="4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62</v>
      </c>
      <c r="D101" s="6"/>
      <c r="E101" s="40">
        <f>ROUND((E18+E32+E45+E58+E71+E84+E95)*0.038,2)</f>
        <v>34479.94</v>
      </c>
      <c r="F101" s="7"/>
      <c r="G101" s="7">
        <f>ROUND((G18+G32+G45+G58+G71+G84+G95)*0.038,2)</f>
        <v>36544.300000000003</v>
      </c>
      <c r="H101" s="7"/>
      <c r="I101" s="7">
        <f t="shared" ref="I101:Q101" si="64">ROUND((I18+I32+I45+I58+I71+I84+I95)*0.038,2)</f>
        <v>37928.379999999997</v>
      </c>
      <c r="J101" s="7"/>
      <c r="K101" s="7">
        <f t="shared" si="64"/>
        <v>63759.96</v>
      </c>
      <c r="L101" s="7"/>
      <c r="M101" s="7">
        <f t="shared" si="64"/>
        <v>46454.69</v>
      </c>
      <c r="N101" s="7"/>
      <c r="O101" s="7">
        <f t="shared" si="64"/>
        <v>46315.16</v>
      </c>
      <c r="P101" s="7"/>
      <c r="Q101" s="7">
        <f t="shared" si="64"/>
        <v>69797.22</v>
      </c>
    </row>
    <row r="102" spans="1:19" ht="68.25" customHeight="1" x14ac:dyDescent="0.25">
      <c r="A102" s="4"/>
      <c r="B102" s="47" t="s">
        <v>33</v>
      </c>
      <c r="C102" s="48"/>
      <c r="D102" s="34"/>
      <c r="E102" s="7">
        <f>E18+E32+E45+E58+E71+E84+E95+E97+E99+E101</f>
        <v>1141467.48</v>
      </c>
      <c r="F102" s="23"/>
      <c r="G102" s="23">
        <f>G18+G32+G45+G58+G71+G84+G95+G97+G99+G101</f>
        <v>1209808.73</v>
      </c>
      <c r="H102" s="23"/>
      <c r="I102" s="23">
        <f>I18+I32+I45+I58+I71+I84+I95+I97+I99+I101</f>
        <v>1255629.02</v>
      </c>
      <c r="J102" s="23"/>
      <c r="K102" s="23">
        <f>K18+K32+K45+K58+K71+K84+K95+K97+K99+K101</f>
        <v>2110790.1</v>
      </c>
      <c r="L102" s="23"/>
      <c r="M102" s="23">
        <f>M18+M32+M45+M58+M71+M84+M95+M97+M99+M101</f>
        <v>1537894.64</v>
      </c>
      <c r="N102" s="23"/>
      <c r="O102" s="23">
        <f>O18+O32+O45+O58+O71+O84+O95+O97+O99+O101</f>
        <v>1533275.4199999997</v>
      </c>
      <c r="P102" s="23"/>
      <c r="Q102" s="23">
        <f>Q18+Q32+Q45+Q58+Q71+Q84+Q95+Q97+Q99+Q101</f>
        <v>2310655.4</v>
      </c>
    </row>
    <row r="103" spans="1:19" ht="22.5" customHeight="1" x14ac:dyDescent="0.25">
      <c r="A103" s="4"/>
      <c r="B103" s="57"/>
      <c r="C103" s="58"/>
      <c r="D103" s="36"/>
      <c r="E103" s="36"/>
      <c r="F103" s="7"/>
      <c r="G103" s="7"/>
      <c r="H103" s="7"/>
      <c r="I103" s="7"/>
      <c r="J103" s="7"/>
      <c r="K103" s="7"/>
      <c r="L103" s="7"/>
      <c r="M103" s="7"/>
      <c r="N103" s="16"/>
      <c r="O103" s="7"/>
      <c r="P103" s="4"/>
      <c r="Q103" s="7"/>
    </row>
    <row r="104" spans="1:19" ht="37.5" customHeight="1" x14ac:dyDescent="0.25">
      <c r="A104" s="4"/>
      <c r="B104" s="47" t="s">
        <v>44</v>
      </c>
      <c r="C104" s="48"/>
      <c r="D104" s="43">
        <v>25</v>
      </c>
      <c r="E104" s="5">
        <f>ROUND(E102/D104,0)</f>
        <v>45659</v>
      </c>
      <c r="F104" s="26">
        <v>20</v>
      </c>
      <c r="G104" s="5">
        <f>ROUND(G102/F104,0)</f>
        <v>60490</v>
      </c>
      <c r="H104" s="26">
        <v>25</v>
      </c>
      <c r="I104" s="5">
        <f>ROUND(I102/H104,0)</f>
        <v>50225</v>
      </c>
      <c r="J104" s="26">
        <v>15</v>
      </c>
      <c r="K104" s="5">
        <f>ROUND(K102/J104,0)</f>
        <v>140719</v>
      </c>
      <c r="L104" s="26">
        <v>20</v>
      </c>
      <c r="M104" s="5">
        <f>ROUND(M102/L104,0)</f>
        <v>76895</v>
      </c>
      <c r="N104" s="27">
        <v>25</v>
      </c>
      <c r="O104" s="5">
        <f>ROUND(O102/N104,0)</f>
        <v>61331</v>
      </c>
      <c r="P104" s="27">
        <v>15</v>
      </c>
      <c r="Q104" s="5">
        <f>ROUND(Q102/P104,0)</f>
        <v>154044</v>
      </c>
      <c r="R104" s="28"/>
      <c r="S104" s="29"/>
    </row>
    <row r="105" spans="1:19" ht="46.5" customHeight="1" x14ac:dyDescent="0.25">
      <c r="A105" s="4"/>
      <c r="B105" s="47" t="s">
        <v>64</v>
      </c>
      <c r="C105" s="48"/>
      <c r="D105" s="4"/>
      <c r="E105" s="5">
        <v>45659</v>
      </c>
      <c r="F105" s="4"/>
      <c r="G105" s="5">
        <v>45659</v>
      </c>
      <c r="H105" s="4"/>
      <c r="I105" s="5">
        <v>45659</v>
      </c>
      <c r="J105" s="4"/>
      <c r="K105" s="5">
        <v>45659</v>
      </c>
      <c r="L105" s="4"/>
      <c r="M105" s="5">
        <v>45659</v>
      </c>
      <c r="N105" s="18"/>
      <c r="O105" s="5">
        <v>45659</v>
      </c>
      <c r="P105" s="4"/>
      <c r="Q105" s="5">
        <v>45659</v>
      </c>
    </row>
    <row r="106" spans="1:19" ht="99.75" customHeight="1" x14ac:dyDescent="0.25">
      <c r="A106" s="4"/>
      <c r="B106" s="54" t="s">
        <v>67</v>
      </c>
      <c r="C106" s="55"/>
      <c r="D106" s="44"/>
      <c r="E106" s="21">
        <f>ROUND(E104/E105,3)</f>
        <v>1</v>
      </c>
      <c r="F106" s="3"/>
      <c r="G106" s="3">
        <f t="shared" ref="G106:Q106" si="65">ROUND(G104/G105,3)</f>
        <v>1.325</v>
      </c>
      <c r="H106" s="3"/>
      <c r="I106" s="3">
        <f t="shared" si="65"/>
        <v>1.1000000000000001</v>
      </c>
      <c r="J106" s="3"/>
      <c r="K106" s="3">
        <f t="shared" si="65"/>
        <v>3.0819999999999999</v>
      </c>
      <c r="L106" s="3"/>
      <c r="M106" s="3">
        <f t="shared" si="65"/>
        <v>1.6839999999999999</v>
      </c>
      <c r="N106" s="3"/>
      <c r="O106" s="3">
        <f t="shared" si="65"/>
        <v>1.343</v>
      </c>
      <c r="P106" s="3"/>
      <c r="Q106" s="3">
        <f t="shared" si="65"/>
        <v>3.3740000000000001</v>
      </c>
    </row>
    <row r="107" spans="1:19" ht="59.25" customHeight="1" x14ac:dyDescent="0.25">
      <c r="A107" s="4"/>
      <c r="B107" s="47" t="s">
        <v>65</v>
      </c>
      <c r="C107" s="48"/>
      <c r="D107" s="4"/>
      <c r="E107" s="5">
        <v>4500</v>
      </c>
      <c r="F107" s="5"/>
      <c r="G107" s="5">
        <v>4500</v>
      </c>
      <c r="H107" s="5"/>
      <c r="I107" s="5">
        <v>4500</v>
      </c>
      <c r="J107" s="5"/>
      <c r="K107" s="5">
        <v>4500</v>
      </c>
      <c r="L107" s="5"/>
      <c r="M107" s="5">
        <v>4500</v>
      </c>
      <c r="N107" s="5"/>
      <c r="O107" s="5">
        <v>4500</v>
      </c>
      <c r="P107" s="5"/>
      <c r="Q107" s="5">
        <v>4500</v>
      </c>
    </row>
    <row r="108" spans="1:19" ht="52.5" customHeight="1" x14ac:dyDescent="0.25">
      <c r="A108" s="4"/>
      <c r="B108" s="47" t="s">
        <v>45</v>
      </c>
      <c r="C108" s="48"/>
      <c r="D108" s="4"/>
      <c r="E108" s="5">
        <f>E105+E107</f>
        <v>50159</v>
      </c>
      <c r="F108" s="4"/>
      <c r="G108" s="5">
        <f>G105+G107</f>
        <v>50159</v>
      </c>
      <c r="H108" s="4"/>
      <c r="I108" s="5">
        <f>I105+I107</f>
        <v>50159</v>
      </c>
      <c r="J108" s="4"/>
      <c r="K108" s="5">
        <f>K105+K107</f>
        <v>50159</v>
      </c>
      <c r="L108" s="4"/>
      <c r="M108" s="5">
        <f>M105+M107</f>
        <v>50159</v>
      </c>
      <c r="N108" s="18"/>
      <c r="O108" s="5">
        <f>O105+O107</f>
        <v>50159</v>
      </c>
      <c r="P108" s="4"/>
      <c r="Q108" s="5">
        <f>Q105+Q107</f>
        <v>50159</v>
      </c>
    </row>
  </sheetData>
  <mergeCells count="22">
    <mergeCell ref="N3:O3"/>
    <mergeCell ref="B96:C96"/>
    <mergeCell ref="B98:C98"/>
    <mergeCell ref="B100:C100"/>
    <mergeCell ref="B102:C102"/>
    <mergeCell ref="D3:E3"/>
    <mergeCell ref="B107:C107"/>
    <mergeCell ref="B108:C108"/>
    <mergeCell ref="A1:Q1"/>
    <mergeCell ref="A2:A3"/>
    <mergeCell ref="B2:B3"/>
    <mergeCell ref="C2:C3"/>
    <mergeCell ref="F3:G3"/>
    <mergeCell ref="H3:I3"/>
    <mergeCell ref="J3:K3"/>
    <mergeCell ref="L3:M3"/>
    <mergeCell ref="D2:Q2"/>
    <mergeCell ref="P3:Q3"/>
    <mergeCell ref="B105:C105"/>
    <mergeCell ref="B106:C106"/>
    <mergeCell ref="B103:C103"/>
    <mergeCell ref="B104:C104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Село</vt:lpstr>
      <vt:lpstr>Город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2018-07-05T14:11:41Z</dcterms:modified>
</cp:coreProperties>
</file>