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225" windowWidth="15120" windowHeight="7890" activeTab="1"/>
  </bookViews>
  <sheets>
    <sheet name="Город-12 часов" sheetId="9" r:id="rId1"/>
    <sheet name="Село-9 часов" sheetId="10" r:id="rId2"/>
  </sheets>
  <definedNames>
    <definedName name="_xlnm.Print_Titles" localSheetId="0">'Город-12 часов'!$A:$B,'Город-12 часов'!$3:$5</definedName>
    <definedName name="_xlnm.Print_Titles" localSheetId="1">'Село-9 часов'!$A:$B,'Село-9 часов'!$2:$4</definedName>
    <definedName name="_xlnm.Print_Area" localSheetId="0">'Город-12 часов'!$A$1:$H$63</definedName>
    <definedName name="_xlnm.Print_Area" localSheetId="1">'Село-9 часов'!$A$1:$F$62</definedName>
  </definedNames>
  <calcPr calcId="145621"/>
</workbook>
</file>

<file path=xl/calcChain.xml><?xml version="1.0" encoding="utf-8"?>
<calcChain xmlns="http://schemas.openxmlformats.org/spreadsheetml/2006/main">
  <c r="F62" i="10" l="1"/>
  <c r="D62" i="10"/>
  <c r="H63" i="9"/>
  <c r="F63" i="9"/>
  <c r="D63" i="9"/>
  <c r="F21" i="9" l="1"/>
  <c r="D21" i="9"/>
  <c r="F6" i="10" l="1"/>
  <c r="F11" i="10" s="1"/>
  <c r="D6" i="10"/>
  <c r="D11" i="10" s="1"/>
  <c r="D7" i="10" l="1"/>
  <c r="D8" i="10"/>
  <c r="D9" i="10"/>
  <c r="D10" i="10"/>
  <c r="F7" i="10"/>
  <c r="F8" i="10"/>
  <c r="F9" i="10"/>
  <c r="F10" i="10"/>
  <c r="F51" i="10"/>
  <c r="F47" i="10"/>
  <c r="F48" i="10" s="1"/>
  <c r="F34" i="10"/>
  <c r="F39" i="10" s="1"/>
  <c r="F20" i="10"/>
  <c r="F25" i="10" s="1"/>
  <c r="D13" i="10" l="1"/>
  <c r="D12" i="10"/>
  <c r="F12" i="10"/>
  <c r="F14" i="10" s="1"/>
  <c r="F13" i="10"/>
  <c r="F50" i="10"/>
  <c r="F49" i="10"/>
  <c r="F36" i="10"/>
  <c r="F38" i="10"/>
  <c r="F35" i="10"/>
  <c r="F37" i="10"/>
  <c r="F22" i="10"/>
  <c r="F24" i="10"/>
  <c r="F21" i="10"/>
  <c r="F27" i="10" s="1"/>
  <c r="F23" i="10"/>
  <c r="D51" i="10"/>
  <c r="D47" i="10"/>
  <c r="D34" i="10"/>
  <c r="D39" i="10" s="1"/>
  <c r="D20" i="10"/>
  <c r="D25" i="10" s="1"/>
  <c r="D14" i="10" l="1"/>
  <c r="D15" i="10" s="1"/>
  <c r="D17" i="10" s="1"/>
  <c r="D18" i="10" s="1"/>
  <c r="F41" i="10"/>
  <c r="F15" i="10"/>
  <c r="F17" i="10" s="1"/>
  <c r="F18" i="10" s="1"/>
  <c r="F52" i="10"/>
  <c r="F54" i="10" s="1"/>
  <c r="F55" i="10" s="1"/>
  <c r="F40" i="10"/>
  <c r="F44" i="10" s="1"/>
  <c r="F45" i="10" s="1"/>
  <c r="F26" i="10"/>
  <c r="H52" i="9"/>
  <c r="F52" i="9"/>
  <c r="D52" i="9"/>
  <c r="H47" i="9"/>
  <c r="F47" i="9"/>
  <c r="D47" i="9"/>
  <c r="H34" i="9"/>
  <c r="F34" i="9"/>
  <c r="D34" i="9"/>
  <c r="F42" i="10" l="1"/>
  <c r="F28" i="10"/>
  <c r="F29" i="10" s="1"/>
  <c r="F31" i="10" s="1"/>
  <c r="F32" i="10" s="1"/>
  <c r="H21" i="9"/>
  <c r="H7" i="9"/>
  <c r="F7" i="9"/>
  <c r="D7" i="9"/>
  <c r="F56" i="10" l="1"/>
  <c r="F57" i="10" s="1"/>
  <c r="F22" i="9"/>
  <c r="H23" i="9"/>
  <c r="F24" i="9"/>
  <c r="D25" i="9"/>
  <c r="H25" i="9"/>
  <c r="F26" i="9"/>
  <c r="D22" i="9"/>
  <c r="H22" i="9"/>
  <c r="D24" i="9"/>
  <c r="H24" i="9"/>
  <c r="F25" i="9"/>
  <c r="D26" i="9"/>
  <c r="H26" i="9"/>
  <c r="D28" i="9"/>
  <c r="H28" i="9" l="1"/>
  <c r="F27" i="9"/>
  <c r="F28" i="9"/>
  <c r="F29" i="9" s="1"/>
  <c r="D27" i="9"/>
  <c r="D29" i="9" s="1"/>
  <c r="H27" i="9"/>
  <c r="F31" i="9" l="1"/>
  <c r="F32" i="9" s="1"/>
  <c r="H29" i="9"/>
  <c r="H31" i="9" s="1"/>
  <c r="H32" i="9" s="1"/>
  <c r="D31" i="9"/>
  <c r="D32" i="9" s="1"/>
  <c r="D21" i="10"/>
  <c r="D35" i="10"/>
  <c r="D36" i="10"/>
  <c r="D38" i="10"/>
  <c r="D48" i="10"/>
  <c r="D50" i="10" s="1"/>
  <c r="D49" i="10" l="1"/>
  <c r="D37" i="10"/>
  <c r="D23" i="10"/>
  <c r="D22" i="10"/>
  <c r="D24" i="10"/>
  <c r="D52" i="10" l="1"/>
  <c r="D54" i="10" s="1"/>
  <c r="D55" i="10" s="1"/>
  <c r="D40" i="10"/>
  <c r="D27" i="10"/>
  <c r="D41" i="10"/>
  <c r="D26" i="10"/>
  <c r="D42" i="10" l="1"/>
  <c r="D44" i="10"/>
  <c r="D45" i="10" s="1"/>
  <c r="D28" i="10"/>
  <c r="D29" i="10" s="1"/>
  <c r="D31" i="10" s="1"/>
  <c r="D32" i="10" s="1"/>
  <c r="D56" i="10" s="1"/>
  <c r="F39" i="9"/>
  <c r="D38" i="9"/>
  <c r="D35" i="9"/>
  <c r="H35" i="9"/>
  <c r="D37" i="9"/>
  <c r="D39" i="9"/>
  <c r="F38" i="9"/>
  <c r="H37" i="9"/>
  <c r="H39" i="9"/>
  <c r="F35" i="9"/>
  <c r="H36" i="9"/>
  <c r="F37" i="9"/>
  <c r="H38" i="9"/>
  <c r="D57" i="10" l="1"/>
  <c r="F40" i="9"/>
  <c r="H40" i="9"/>
  <c r="D41" i="9"/>
  <c r="H41" i="9"/>
  <c r="D40" i="9"/>
  <c r="F41" i="9"/>
  <c r="F42" i="9" s="1"/>
  <c r="D42" i="9"/>
  <c r="F44" i="9"/>
  <c r="F45" i="9" s="1"/>
  <c r="D44" i="9"/>
  <c r="H44" i="9"/>
  <c r="H45" i="9" s="1"/>
  <c r="F58" i="10" l="1"/>
  <c r="D58" i="10"/>
  <c r="H42" i="9"/>
  <c r="F59" i="10" l="1"/>
  <c r="D59" i="10"/>
  <c r="D10" i="9"/>
  <c r="F10" i="9" l="1"/>
  <c r="D12" i="9"/>
  <c r="D11" i="9"/>
  <c r="H12" i="9"/>
  <c r="H11" i="9"/>
  <c r="F8" i="9"/>
  <c r="H9" i="9"/>
  <c r="F12" i="9"/>
  <c r="F11" i="9"/>
  <c r="D8" i="9"/>
  <c r="H8" i="9"/>
  <c r="H10" i="9"/>
  <c r="D14" i="9" l="1"/>
  <c r="F14" i="9"/>
  <c r="H14" i="9"/>
  <c r="H13" i="9"/>
  <c r="H15" i="9" s="1"/>
  <c r="F13" i="9"/>
  <c r="D13" i="9"/>
  <c r="D15" i="9" s="1"/>
  <c r="F15" i="9"/>
  <c r="F16" i="9" s="1"/>
  <c r="F18" i="9" s="1"/>
  <c r="D16" i="9" l="1"/>
  <c r="D18" i="9" s="1"/>
  <c r="H16" i="9"/>
  <c r="H18" i="9" s="1"/>
  <c r="H48" i="9" l="1"/>
  <c r="F49" i="9" l="1"/>
  <c r="F51" i="9" s="1"/>
  <c r="F50" i="9" l="1"/>
  <c r="D49" i="9"/>
  <c r="D51" i="9" s="1"/>
  <c r="H49" i="9"/>
  <c r="H51" i="9" s="1"/>
  <c r="F53" i="9" l="1"/>
  <c r="F55" i="9" s="1"/>
  <c r="F56" i="9" s="1"/>
  <c r="H50" i="9"/>
  <c r="D50" i="9"/>
  <c r="D53" i="9" l="1"/>
  <c r="D55" i="9" s="1"/>
  <c r="D56" i="9" s="1"/>
  <c r="H53" i="9"/>
  <c r="H55" i="9" s="1"/>
  <c r="H56" i="9" s="1"/>
  <c r="D19" i="9"/>
  <c r="H19" i="9"/>
  <c r="H57" i="9" s="1"/>
  <c r="D45" i="9" l="1"/>
  <c r="D57" i="9" s="1"/>
  <c r="F19" i="9"/>
  <c r="F57" i="9" s="1"/>
  <c r="D58" i="9" l="1"/>
  <c r="F58" i="9" l="1"/>
  <c r="H58" i="9"/>
  <c r="H59" i="9" l="1"/>
  <c r="F59" i="9"/>
  <c r="D59" i="9"/>
  <c r="H60" i="9"/>
  <c r="D60" i="9"/>
</calcChain>
</file>

<file path=xl/sharedStrings.xml><?xml version="1.0" encoding="utf-8"?>
<sst xmlns="http://schemas.openxmlformats.org/spreadsheetml/2006/main" count="140" uniqueCount="50">
  <si>
    <t>Показатели, используемые для расчёта норматива</t>
  </si>
  <si>
    <t>№ п/п</t>
  </si>
  <si>
    <t>количество штатных единиц</t>
  </si>
  <si>
    <t>Отчисления во внебюджетные фонды (30,2%)</t>
  </si>
  <si>
    <t>-в месяц</t>
  </si>
  <si>
    <t>-в год</t>
  </si>
  <si>
    <t>Итого затраты на оплату труда воспитателей:</t>
  </si>
  <si>
    <t>Итого затраты на оплату труда музыкальных руководителей:</t>
  </si>
  <si>
    <t>Итого затраты на оплату труда младших воспитателей:</t>
  </si>
  <si>
    <t>Отпускные</t>
  </si>
  <si>
    <t xml:space="preserve"> Затраты на оплату труда воспитателей</t>
  </si>
  <si>
    <t>Доплата за работу в особых условиях (10%  от ФЗП по должностным окладам)</t>
  </si>
  <si>
    <t>Надбавка за интенсивность и высокие результаты работы (60 % от ФЗП по ставкам заработной платы)</t>
  </si>
  <si>
    <t xml:space="preserve"> Затраты на оплату труда музыкальных руководителей</t>
  </si>
  <si>
    <t>Надбавка за квалификацию (максимально - 25% от ФЗП по ставкам заработной платы)</t>
  </si>
  <si>
    <t>Доплата за работу в особых условиях (10%  от ФЗП по ставкам заработной платы)</t>
  </si>
  <si>
    <t>Доплаты за работу, не входящую в круг основных должностных обязанностей (5% от ФЗП по ставкам заработной платы)</t>
  </si>
  <si>
    <t xml:space="preserve"> Затраты на оплату труда младших воспитателей</t>
  </si>
  <si>
    <t>Премиальный фонд (5% от ФЗП по тарификации и доплат за работу, не входящую в круг основных должностных обязанностей)</t>
  </si>
  <si>
    <t>Фонд материальной помощи (1% от ФЗП по тарификации и доплат за работу, не входящую в круг основных должностных обязанностей)</t>
  </si>
  <si>
    <t>Фонд материальной помощи (1% от ФЗП по тарификации)</t>
  </si>
  <si>
    <t>Доведение до  МРОТ</t>
  </si>
  <si>
    <t>Надбавка за выслугу лет (максимально -20% от ФЗП по ставкам заработной платы)</t>
  </si>
  <si>
    <t>Надбавка за выслугу лет (максимально -30% от ФЗП по должностным окладам)</t>
  </si>
  <si>
    <t>Итого затраты в год  на оплату труда работников, непосредственно связанных с оказанием муниципальной услуги</t>
  </si>
  <si>
    <t>Затраты на оплату труда работников, непосредственно связанных с оказанием муниципальной услуги,  для включения в базовый норматив затрат, непосредственно связанных с оказанием муниципальной услуги</t>
  </si>
  <si>
    <t>Отраслевой  корректирующий коэффициент к расходам на оплату труда в базовом нормативе затрат, непосредственно связанных с оказанием муниципальной услуги, учитывающий особенности предоставления муниципальной услуги обучающимся от 1 года до 3-х лет и обучающимся с ОВЗ в возрасте от 3-х до 8 лет</t>
  </si>
  <si>
    <t>Базовый норматив затрат, непосредственно связанных с оказанием муниципальной услуги</t>
  </si>
  <si>
    <t>Надбавка за специфику работы (20%  от ФЗП по ставкам заработной платы)</t>
  </si>
  <si>
    <t>Приложение №1</t>
  </si>
  <si>
    <t>Значения показателей</t>
  </si>
  <si>
    <t>12 часов-обучающиеся от 1 года до 3 лет, за исключением обучающихся с ОВЗ и детей-инвалидов</t>
  </si>
  <si>
    <t>12 часов-обучающиеся от 3 до 8 лет с ОВЗ</t>
  </si>
  <si>
    <t>12 часов-обучающиеся от 3 до 8 лет за исключением обучающихся с ОВЗ и детей-инвалидов</t>
  </si>
  <si>
    <t>Расчетная наполняемость групп, чел./затраты  на  одного обучающегося в год, руб.</t>
  </si>
  <si>
    <t>9 часов-обучающиеся от 3 до 8 лет за исключением обучающихся с ОВЗ и детей-инвалидов</t>
  </si>
  <si>
    <t>затраты, руб.</t>
  </si>
  <si>
    <t>Затраты на оплату труда работников, непосредственно связанных с оказанием муниципальной услуги,  для включения в базовый норматив затрат, непосредственно связанных с оказанием муниципальной услуги, руб.</t>
  </si>
  <si>
    <t>Базовый норматив затрат, непосредственно связанных с оказанием муниципальной услуги, руб.</t>
  </si>
  <si>
    <t xml:space="preserve">2023 год-общеобразовательные  учреждения  в городских населенных пунктах-при реализация основных общеобразовательных программ дошкольного образования </t>
  </si>
  <si>
    <t>Размер заработной платы в соответствии со ставкой заработной платы (с учетом индексации с 01.10.2023 года на 5,5%) и количеством штатных единиц</t>
  </si>
  <si>
    <t>Затраты на оплату труда учителей-логопедов (учителей-дефектологов)</t>
  </si>
  <si>
    <t>Размер заработной платы в соответствии с должностным окладом (с учетом индексации с 01.10.2023 года на 5,5%) и количеством штатных единиц</t>
  </si>
  <si>
    <t xml:space="preserve">2023 год-общеобразовательные  учреждения  в сельских  населенных пунктах-при реализация основных общеобразовательных программ дошкольного образования </t>
  </si>
  <si>
    <t>10 часов-обучающиеся от 3 до 8 лет за исключением обучающихся с ОВЗ и детей-инвалидов</t>
  </si>
  <si>
    <t xml:space="preserve"> Затраты на оплату труда старших воспитателей</t>
  </si>
  <si>
    <t>Итого затраты на оплату труда старших воспитателей:</t>
  </si>
  <si>
    <t>Надбавка за интенсивность и высокие результаты работы (40 % от ФЗП по ставкам заработной платы)</t>
  </si>
  <si>
    <t>Затраты  на приобретение материальных запасов,   используемых в процессе оказания муниципальной услуги, и иные затраты, для включения в базовый норматив затрат, непосредственно связанных с оказанием муниципальной услуги,  в соответствии с постановлением Правительства Ростовской области от 23.12.2022 №1127 "Об утверждении нормативов на реализацию программ дошкольного, начального общего, основного общего, среднего общего, дополнительного образования в организациях, реализующих образовательные программы, и корректирующих коэффициентов"  для дошкольных групп общеобразовательных учреждений для соответствующего уровня образования и продолжительности работы дошкольной группы</t>
  </si>
  <si>
    <t>Затраты  на приобретение материальных запасов,   используемых в процессе оказания муниципальной услуги, и иные затраты  в соответствии с постановлением Правительства Ростовской области от 23.12.2022 №1127 "Об утверждении нормативов на реализацию программ дошкольного, начального общего, основного общего, среднего общего, дополнительного образования в организациях, реализующих образовательные программы, и корректирующих коэффициентов"  для дошкольных групп общеобразовательных учреждений для соответствующего уровня образования и продолжительности работы дошкольной группы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</si>
</sst>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#,##0.000"/>
  </numFmts>
  <fonts count="3" x14ac:knownFonts="1"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164" fontId="1" fillId="2" borderId="0" xfId="0" applyNumberFormat="1" applyFont="1" applyFill="1" applyBorder="1" applyAlignment="1">
      <alignment vertical="center" wrapText="1"/>
    </xf>
    <xf numFmtId="0" fontId="2" fillId="0" borderId="0" xfId="0" applyFont="1" applyFill="1" applyAlignment="1"/>
    <xf numFmtId="0" fontId="2" fillId="0" borderId="0" xfId="0" applyFont="1" applyFill="1" applyAlignment="1">
      <alignment horizontal="center"/>
    </xf>
    <xf numFmtId="0" fontId="2" fillId="0" borderId="7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Fill="1"/>
    <xf numFmtId="0" fontId="2" fillId="0" borderId="5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wrapText="1"/>
    </xf>
    <xf numFmtId="4" fontId="2" fillId="0" borderId="1" xfId="0" applyNumberFormat="1" applyFont="1" applyFill="1" applyBorder="1" applyAlignment="1">
      <alignment horizontal="center"/>
    </xf>
    <xf numFmtId="3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/>
    <xf numFmtId="4" fontId="2" fillId="0" borderId="1" xfId="0" applyNumberFormat="1" applyFont="1" applyFill="1" applyBorder="1" applyAlignment="1">
      <alignment horizontal="center" wrapText="1"/>
    </xf>
    <xf numFmtId="49" fontId="2" fillId="0" borderId="1" xfId="0" applyNumberFormat="1" applyFont="1" applyFill="1" applyBorder="1" applyAlignment="1">
      <alignment wrapText="1"/>
    </xf>
    <xf numFmtId="0" fontId="2" fillId="0" borderId="2" xfId="0" applyFont="1" applyFill="1" applyBorder="1" applyAlignment="1">
      <alignment vertical="center" wrapText="1"/>
    </xf>
    <xf numFmtId="0" fontId="2" fillId="0" borderId="4" xfId="0" applyFont="1" applyFill="1" applyBorder="1" applyAlignment="1">
      <alignment vertical="center" wrapText="1"/>
    </xf>
    <xf numFmtId="4" fontId="2" fillId="0" borderId="1" xfId="0" applyNumberFormat="1" applyFont="1" applyFill="1" applyBorder="1"/>
    <xf numFmtId="0" fontId="2" fillId="0" borderId="2" xfId="0" applyFont="1" applyFill="1" applyBorder="1" applyAlignment="1">
      <alignment wrapText="1"/>
    </xf>
    <xf numFmtId="1" fontId="2" fillId="0" borderId="1" xfId="0" applyNumberFormat="1" applyFont="1" applyFill="1" applyBorder="1" applyAlignment="1">
      <alignment horizontal="center"/>
    </xf>
    <xf numFmtId="1" fontId="2" fillId="0" borderId="0" xfId="0" applyNumberFormat="1" applyFont="1" applyFill="1" applyBorder="1" applyAlignment="1">
      <alignment horizontal="center"/>
    </xf>
    <xf numFmtId="3" fontId="2" fillId="0" borderId="0" xfId="0" applyNumberFormat="1" applyFont="1" applyFill="1" applyBorder="1" applyAlignment="1">
      <alignment horizontal="center"/>
    </xf>
    <xf numFmtId="164" fontId="1" fillId="0" borderId="2" xfId="0" applyNumberFormat="1" applyFont="1" applyFill="1" applyBorder="1" applyAlignment="1">
      <alignment vertical="center" wrapText="1"/>
    </xf>
    <xf numFmtId="0" fontId="2" fillId="2" borderId="1" xfId="0" applyFont="1" applyFill="1" applyBorder="1" applyAlignment="1">
      <alignment wrapText="1"/>
    </xf>
    <xf numFmtId="0" fontId="2" fillId="0" borderId="0" xfId="0" applyFont="1" applyFill="1" applyBorder="1"/>
    <xf numFmtId="0" fontId="2" fillId="0" borderId="0" xfId="0" applyFont="1" applyFill="1" applyBorder="1" applyAlignment="1">
      <alignment vertical="center" wrapText="1"/>
    </xf>
    <xf numFmtId="0" fontId="2" fillId="0" borderId="4" xfId="0" applyFont="1" applyFill="1" applyBorder="1" applyAlignment="1">
      <alignment horizontal="left" vertical="center" wrapText="1"/>
    </xf>
    <xf numFmtId="165" fontId="2" fillId="0" borderId="1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4"/>
  <sheetViews>
    <sheetView view="pageBreakPreview" zoomScale="60" zoomScaleNormal="81" workbookViewId="0">
      <pane xSplit="2" ySplit="5" topLeftCell="C6" activePane="bottomRight" state="frozen"/>
      <selection pane="topRight" activeCell="D1" sqref="D1"/>
      <selection pane="bottomLeft" activeCell="A5" sqref="A5"/>
      <selection pane="bottomRight" activeCell="E7" sqref="E7"/>
    </sheetView>
  </sheetViews>
  <sheetFormatPr defaultRowHeight="18.75" x14ac:dyDescent="0.3"/>
  <cols>
    <col min="1" max="1" width="6.28515625" style="6" customWidth="1"/>
    <col min="2" max="2" width="75.28515625" style="6" customWidth="1"/>
    <col min="3" max="3" width="18" style="6" customWidth="1"/>
    <col min="4" max="4" width="26.42578125" style="6" customWidth="1"/>
    <col min="5" max="5" width="14.85546875" style="6" customWidth="1"/>
    <col min="6" max="6" width="19.28515625" style="6" customWidth="1"/>
    <col min="7" max="7" width="14.140625" style="6" customWidth="1"/>
    <col min="8" max="8" width="20.140625" style="6" customWidth="1"/>
    <col min="9" max="16384" width="9.140625" style="6"/>
  </cols>
  <sheetData>
    <row r="1" spans="1:11" x14ac:dyDescent="0.3">
      <c r="G1" s="3" t="s">
        <v>29</v>
      </c>
      <c r="H1" s="3"/>
    </row>
    <row r="2" spans="1:11" ht="77.25" customHeight="1" x14ac:dyDescent="0.3">
      <c r="A2" s="4" t="s">
        <v>39</v>
      </c>
      <c r="B2" s="4"/>
      <c r="C2" s="4"/>
      <c r="D2" s="4"/>
      <c r="E2" s="4"/>
      <c r="F2" s="4"/>
      <c r="G2" s="4"/>
      <c r="H2" s="4"/>
      <c r="I2" s="2"/>
      <c r="J2" s="2"/>
      <c r="K2" s="2"/>
    </row>
    <row r="3" spans="1:11" ht="67.5" customHeight="1" x14ac:dyDescent="0.3">
      <c r="A3" s="7" t="s">
        <v>1</v>
      </c>
      <c r="B3" s="7" t="s">
        <v>0</v>
      </c>
      <c r="C3" s="8" t="s">
        <v>30</v>
      </c>
      <c r="D3" s="9"/>
      <c r="E3" s="9"/>
      <c r="F3" s="9"/>
      <c r="G3" s="9"/>
      <c r="H3" s="9"/>
    </row>
    <row r="4" spans="1:11" s="12" customFormat="1" ht="101.25" customHeight="1" x14ac:dyDescent="0.25">
      <c r="A4" s="10"/>
      <c r="B4" s="10"/>
      <c r="C4" s="11" t="s">
        <v>31</v>
      </c>
      <c r="D4" s="11"/>
      <c r="E4" s="11" t="s">
        <v>33</v>
      </c>
      <c r="F4" s="11"/>
      <c r="G4" s="11" t="s">
        <v>32</v>
      </c>
      <c r="H4" s="11"/>
    </row>
    <row r="5" spans="1:11" ht="48.75" customHeight="1" x14ac:dyDescent="0.3">
      <c r="A5" s="13"/>
      <c r="B5" s="13"/>
      <c r="C5" s="14" t="s">
        <v>2</v>
      </c>
      <c r="D5" s="15" t="s">
        <v>36</v>
      </c>
      <c r="E5" s="14" t="s">
        <v>2</v>
      </c>
      <c r="F5" s="15" t="s">
        <v>36</v>
      </c>
      <c r="G5" s="15" t="s">
        <v>2</v>
      </c>
      <c r="H5" s="15" t="s">
        <v>36</v>
      </c>
    </row>
    <row r="6" spans="1:11" ht="31.5" customHeight="1" x14ac:dyDescent="0.3">
      <c r="A6" s="14"/>
      <c r="B6" s="16" t="s">
        <v>10</v>
      </c>
      <c r="C6" s="17"/>
      <c r="D6" s="15"/>
      <c r="E6" s="14"/>
      <c r="F6" s="15"/>
      <c r="G6" s="15"/>
      <c r="H6" s="15"/>
    </row>
    <row r="7" spans="1:11" ht="58.5" customHeight="1" x14ac:dyDescent="0.3">
      <c r="A7" s="18">
        <v>1</v>
      </c>
      <c r="B7" s="19" t="s">
        <v>40</v>
      </c>
      <c r="C7" s="20">
        <v>2</v>
      </c>
      <c r="D7" s="20">
        <f>ROUND(13772*C7*1.01375,2)</f>
        <v>27922.73</v>
      </c>
      <c r="E7" s="20">
        <v>2</v>
      </c>
      <c r="F7" s="20">
        <f>ROUND(13772*E7*1.01375,2)</f>
        <v>27922.73</v>
      </c>
      <c r="G7" s="20">
        <v>2.4</v>
      </c>
      <c r="H7" s="20">
        <f>ROUND(13772*G7*1.01375,2)</f>
        <v>33507.279999999999</v>
      </c>
    </row>
    <row r="8" spans="1:11" ht="37.5" customHeight="1" x14ac:dyDescent="0.3">
      <c r="A8" s="18">
        <v>2</v>
      </c>
      <c r="B8" s="19" t="s">
        <v>14</v>
      </c>
      <c r="C8" s="20"/>
      <c r="D8" s="20">
        <f>ROUND(D7*0.25,2)</f>
        <v>6980.68</v>
      </c>
      <c r="E8" s="20"/>
      <c r="F8" s="20">
        <f>ROUND(F7*0.25,2)</f>
        <v>6980.68</v>
      </c>
      <c r="G8" s="20"/>
      <c r="H8" s="20">
        <f>ROUND(H7*0.25,2)</f>
        <v>8376.82</v>
      </c>
    </row>
    <row r="9" spans="1:11" ht="39.75" customHeight="1" x14ac:dyDescent="0.3">
      <c r="A9" s="18">
        <v>3</v>
      </c>
      <c r="B9" s="19" t="s">
        <v>15</v>
      </c>
      <c r="C9" s="20"/>
      <c r="D9" s="20"/>
      <c r="E9" s="20"/>
      <c r="F9" s="20"/>
      <c r="G9" s="20"/>
      <c r="H9" s="20">
        <f>ROUND(H7*0.1,2)</f>
        <v>3350.73</v>
      </c>
    </row>
    <row r="10" spans="1:11" ht="35.25" customHeight="1" x14ac:dyDescent="0.3">
      <c r="A10" s="18">
        <v>4</v>
      </c>
      <c r="B10" s="19" t="s">
        <v>22</v>
      </c>
      <c r="C10" s="21"/>
      <c r="D10" s="20">
        <f>ROUND(D7*0.2,2)</f>
        <v>5584.55</v>
      </c>
      <c r="E10" s="21"/>
      <c r="F10" s="20">
        <f>ROUND(F7*0.2,2)</f>
        <v>5584.55</v>
      </c>
      <c r="G10" s="21"/>
      <c r="H10" s="20">
        <f>ROUND(H7*0.2,2)</f>
        <v>6701.46</v>
      </c>
    </row>
    <row r="11" spans="1:11" ht="63" customHeight="1" x14ac:dyDescent="0.3">
      <c r="A11" s="18">
        <v>5</v>
      </c>
      <c r="B11" s="19" t="s">
        <v>16</v>
      </c>
      <c r="C11" s="20"/>
      <c r="D11" s="20">
        <f>ROUND((D7)*0.05,2)</f>
        <v>1396.14</v>
      </c>
      <c r="E11" s="20"/>
      <c r="F11" s="20">
        <f t="shared" ref="F11:H11" si="0">ROUND((F7)*0.05,2)</f>
        <v>1396.14</v>
      </c>
      <c r="G11" s="20"/>
      <c r="H11" s="20">
        <f t="shared" si="0"/>
        <v>1675.36</v>
      </c>
    </row>
    <row r="12" spans="1:11" ht="50.25" customHeight="1" x14ac:dyDescent="0.3">
      <c r="A12" s="18">
        <v>6</v>
      </c>
      <c r="B12" s="19" t="s">
        <v>12</v>
      </c>
      <c r="C12" s="20"/>
      <c r="D12" s="20">
        <f>ROUND(D7*0.6,2)</f>
        <v>16753.64</v>
      </c>
      <c r="E12" s="20"/>
      <c r="F12" s="20">
        <f>ROUND(F7*0.6,2)</f>
        <v>16753.64</v>
      </c>
      <c r="G12" s="20"/>
      <c r="H12" s="20">
        <f>ROUND(H7*0.6,2)</f>
        <v>20104.37</v>
      </c>
    </row>
    <row r="13" spans="1:11" ht="72" customHeight="1" x14ac:dyDescent="0.3">
      <c r="A13" s="18">
        <v>7</v>
      </c>
      <c r="B13" s="19" t="s">
        <v>18</v>
      </c>
      <c r="C13" s="20"/>
      <c r="D13" s="20">
        <f>ROUND((D7+D8+D9+D10+D11)*0.05,2)</f>
        <v>2094.21</v>
      </c>
      <c r="E13" s="20"/>
      <c r="F13" s="20">
        <f t="shared" ref="F13:H13" si="1">ROUND((F7+F8+F9+F10+F11)*0.05,2)</f>
        <v>2094.21</v>
      </c>
      <c r="G13" s="20"/>
      <c r="H13" s="20">
        <f t="shared" si="1"/>
        <v>2680.58</v>
      </c>
    </row>
    <row r="14" spans="1:11" ht="51.75" customHeight="1" x14ac:dyDescent="0.3">
      <c r="A14" s="18">
        <v>8</v>
      </c>
      <c r="B14" s="19" t="s">
        <v>19</v>
      </c>
      <c r="C14" s="18"/>
      <c r="D14" s="18">
        <f>ROUND((D7+D8+D9+D10+D11)*0.01,2)</f>
        <v>418.84</v>
      </c>
      <c r="E14" s="18"/>
      <c r="F14" s="18">
        <f t="shared" ref="F14:H14" si="2">ROUND((F7+F8+F9+F10+F11)*0.01,2)</f>
        <v>418.84</v>
      </c>
      <c r="G14" s="18"/>
      <c r="H14" s="18">
        <f t="shared" si="2"/>
        <v>536.12</v>
      </c>
    </row>
    <row r="15" spans="1:11" ht="19.5" customHeight="1" x14ac:dyDescent="0.3">
      <c r="A15" s="18">
        <v>9</v>
      </c>
      <c r="B15" s="22" t="s">
        <v>9</v>
      </c>
      <c r="C15" s="20"/>
      <c r="D15" s="20">
        <f>ROUND((D7+D8+D9+D10+D11+D12+D13)/29.3*42/12,2)</f>
        <v>7254.67</v>
      </c>
      <c r="E15" s="20"/>
      <c r="F15" s="20">
        <f>ROUND((F7+F8+F9+F10+F11+F12+F13)/29.3*42/12,2)</f>
        <v>7254.67</v>
      </c>
      <c r="G15" s="20"/>
      <c r="H15" s="20">
        <f>ROUND((H7+H8+H9+H10+H11+H12+H13)/29.3*56/12,2)</f>
        <v>12167.83</v>
      </c>
    </row>
    <row r="16" spans="1:11" ht="21.75" customHeight="1" x14ac:dyDescent="0.3">
      <c r="A16" s="18">
        <v>10</v>
      </c>
      <c r="B16" s="19" t="s">
        <v>3</v>
      </c>
      <c r="C16" s="23"/>
      <c r="D16" s="23">
        <f>ROUND((D7+D8+D9+D10+D11+D12+D13+D14+D15)*0.302,2)</f>
        <v>20658.45</v>
      </c>
      <c r="E16" s="23"/>
      <c r="F16" s="23">
        <f>ROUND((F7+F8+F9+F10+F11+F12+F13+F14+F15)*0.302,2)</f>
        <v>20658.45</v>
      </c>
      <c r="G16" s="23"/>
      <c r="H16" s="23">
        <f>ROUND((H7+H8+H9+H10+H11+H12+H13+H14+H15)*0.302,2)</f>
        <v>26908.37</v>
      </c>
    </row>
    <row r="17" spans="1:8" ht="25.5" customHeight="1" x14ac:dyDescent="0.3">
      <c r="A17" s="18">
        <v>11</v>
      </c>
      <c r="B17" s="19" t="s">
        <v>6</v>
      </c>
      <c r="C17" s="20"/>
      <c r="D17" s="20"/>
      <c r="E17" s="20"/>
      <c r="F17" s="20"/>
      <c r="G17" s="20"/>
      <c r="H17" s="20"/>
    </row>
    <row r="18" spans="1:8" ht="16.5" customHeight="1" x14ac:dyDescent="0.3">
      <c r="A18" s="22"/>
      <c r="B18" s="24" t="s">
        <v>4</v>
      </c>
      <c r="C18" s="20"/>
      <c r="D18" s="20">
        <f>D7+D8+D9+D10+D11+D12+D13+D14+D16+D15</f>
        <v>89063.91</v>
      </c>
      <c r="E18" s="20"/>
      <c r="F18" s="20">
        <f>F7+F8+F9+F10+F11+F12+F13+F14+F16+F15</f>
        <v>89063.91</v>
      </c>
      <c r="G18" s="20"/>
      <c r="H18" s="20">
        <f>H7+H8+H9+H10+H11+H12+H13+H14+H16+H15</f>
        <v>116008.92</v>
      </c>
    </row>
    <row r="19" spans="1:8" ht="21.75" customHeight="1" x14ac:dyDescent="0.3">
      <c r="A19" s="22"/>
      <c r="B19" s="24" t="s">
        <v>5</v>
      </c>
      <c r="C19" s="20"/>
      <c r="D19" s="20">
        <f t="shared" ref="D19:H19" si="3">ROUND(D18*12,2)</f>
        <v>1068766.92</v>
      </c>
      <c r="E19" s="20"/>
      <c r="F19" s="20">
        <f t="shared" si="3"/>
        <v>1068766.92</v>
      </c>
      <c r="G19" s="20"/>
      <c r="H19" s="20">
        <f t="shared" si="3"/>
        <v>1392107.04</v>
      </c>
    </row>
    <row r="20" spans="1:8" ht="41.25" customHeight="1" x14ac:dyDescent="0.3">
      <c r="A20" s="22"/>
      <c r="B20" s="25" t="s">
        <v>41</v>
      </c>
      <c r="C20" s="26"/>
      <c r="D20" s="20"/>
      <c r="E20" s="20"/>
      <c r="F20" s="20"/>
      <c r="G20" s="20"/>
      <c r="H20" s="20"/>
    </row>
    <row r="21" spans="1:8" ht="64.5" customHeight="1" x14ac:dyDescent="0.3">
      <c r="A21" s="18">
        <v>1</v>
      </c>
      <c r="B21" s="19" t="s">
        <v>40</v>
      </c>
      <c r="C21" s="20"/>
      <c r="D21" s="20">
        <f>ROUND(13242*C21*1.01375,2)</f>
        <v>0</v>
      </c>
      <c r="E21" s="20"/>
      <c r="F21" s="20">
        <f>ROUND(13242*E21*1.01375,2)</f>
        <v>0</v>
      </c>
      <c r="G21" s="20">
        <v>1</v>
      </c>
      <c r="H21" s="20">
        <f>ROUND(14449*G21*1.01375,2)</f>
        <v>14647.67</v>
      </c>
    </row>
    <row r="22" spans="1:8" ht="41.25" customHeight="1" x14ac:dyDescent="0.3">
      <c r="A22" s="18">
        <v>2</v>
      </c>
      <c r="B22" s="19" t="s">
        <v>14</v>
      </c>
      <c r="C22" s="20"/>
      <c r="D22" s="20">
        <f>ROUND(D21*0.25,2)</f>
        <v>0</v>
      </c>
      <c r="E22" s="20"/>
      <c r="F22" s="20">
        <f>ROUND(F21*0.25,2)</f>
        <v>0</v>
      </c>
      <c r="G22" s="20"/>
      <c r="H22" s="20">
        <f>ROUND(H21*0.25,2)</f>
        <v>3661.92</v>
      </c>
    </row>
    <row r="23" spans="1:8" ht="39" customHeight="1" x14ac:dyDescent="0.3">
      <c r="A23" s="18">
        <v>3</v>
      </c>
      <c r="B23" s="19" t="s">
        <v>15</v>
      </c>
      <c r="C23" s="20"/>
      <c r="D23" s="20"/>
      <c r="E23" s="20"/>
      <c r="F23" s="20"/>
      <c r="G23" s="20"/>
      <c r="H23" s="20">
        <f>ROUND(H21*0.1,2)</f>
        <v>1464.77</v>
      </c>
    </row>
    <row r="24" spans="1:8" ht="36" customHeight="1" x14ac:dyDescent="0.3">
      <c r="A24" s="18">
        <v>4</v>
      </c>
      <c r="B24" s="19" t="s">
        <v>22</v>
      </c>
      <c r="C24" s="21"/>
      <c r="D24" s="20">
        <f>ROUND(D21*0.2,2)</f>
        <v>0</v>
      </c>
      <c r="E24" s="21"/>
      <c r="F24" s="20">
        <f>ROUND(F21*0.2,2)</f>
        <v>0</v>
      </c>
      <c r="G24" s="21"/>
      <c r="H24" s="20">
        <f>ROUND(H21*0.2,2)</f>
        <v>2929.53</v>
      </c>
    </row>
    <row r="25" spans="1:8" ht="62.25" customHeight="1" x14ac:dyDescent="0.3">
      <c r="A25" s="18">
        <v>5</v>
      </c>
      <c r="B25" s="19" t="s">
        <v>16</v>
      </c>
      <c r="C25" s="20"/>
      <c r="D25" s="20">
        <f>ROUND((D21)*0.05,2)</f>
        <v>0</v>
      </c>
      <c r="E25" s="20"/>
      <c r="F25" s="20">
        <f t="shared" ref="F25" si="4">ROUND((F21)*0.05,2)</f>
        <v>0</v>
      </c>
      <c r="G25" s="20"/>
      <c r="H25" s="20">
        <f t="shared" ref="H25" si="5">ROUND((H21)*0.05,2)</f>
        <v>732.38</v>
      </c>
    </row>
    <row r="26" spans="1:8" ht="46.5" customHeight="1" x14ac:dyDescent="0.3">
      <c r="A26" s="18">
        <v>6</v>
      </c>
      <c r="B26" s="19" t="s">
        <v>12</v>
      </c>
      <c r="C26" s="20"/>
      <c r="D26" s="20">
        <f>ROUND(D21*0.6,2)</f>
        <v>0</v>
      </c>
      <c r="E26" s="20"/>
      <c r="F26" s="20">
        <f>ROUND(F21*0.6,2)</f>
        <v>0</v>
      </c>
      <c r="G26" s="20"/>
      <c r="H26" s="20">
        <f>ROUND(H21*0.6,2)</f>
        <v>8788.6</v>
      </c>
    </row>
    <row r="27" spans="1:8" ht="71.25" customHeight="1" x14ac:dyDescent="0.3">
      <c r="A27" s="18">
        <v>7</v>
      </c>
      <c r="B27" s="19" t="s">
        <v>18</v>
      </c>
      <c r="C27" s="20"/>
      <c r="D27" s="20">
        <f>ROUND((D21+D22+D23+D24+D25)*0.05,2)</f>
        <v>0</v>
      </c>
      <c r="E27" s="20"/>
      <c r="F27" s="20">
        <f t="shared" ref="F27" si="6">ROUND((F21+F22+F23+F24+F25)*0.05,2)</f>
        <v>0</v>
      </c>
      <c r="G27" s="20"/>
      <c r="H27" s="20">
        <f t="shared" ref="H27" si="7">ROUND((H21+H22+H23+H24+H25)*0.05,2)</f>
        <v>1171.81</v>
      </c>
    </row>
    <row r="28" spans="1:8" ht="56.25" customHeight="1" x14ac:dyDescent="0.3">
      <c r="A28" s="18">
        <v>8</v>
      </c>
      <c r="B28" s="19" t="s">
        <v>19</v>
      </c>
      <c r="C28" s="18"/>
      <c r="D28" s="18">
        <f>ROUND((D21+D22+D23+D24+D25)*0.01,2)</f>
        <v>0</v>
      </c>
      <c r="E28" s="18"/>
      <c r="F28" s="18">
        <f t="shared" ref="F28" si="8">ROUND((F21+F22+F23+F24+F25)*0.01,2)</f>
        <v>0</v>
      </c>
      <c r="G28" s="18"/>
      <c r="H28" s="18">
        <f t="shared" ref="H28" si="9">ROUND((H21+H22+H23+H24+H25)*0.01,2)</f>
        <v>234.36</v>
      </c>
    </row>
    <row r="29" spans="1:8" ht="21.75" customHeight="1" x14ac:dyDescent="0.3">
      <c r="A29" s="18">
        <v>9</v>
      </c>
      <c r="B29" s="19" t="s">
        <v>3</v>
      </c>
      <c r="C29" s="23"/>
      <c r="D29" s="23">
        <f>ROUND((D21+D22+D23+D24+D25+D26+D27+D28)*0.302,2)</f>
        <v>0</v>
      </c>
      <c r="E29" s="23"/>
      <c r="F29" s="23">
        <f>ROUND((F21+F22+F23+F24+F25+F26+F27+F28)*0.302,2)</f>
        <v>0</v>
      </c>
      <c r="G29" s="23"/>
      <c r="H29" s="23">
        <f>ROUND((H21+H22+H23+H24+H25+H26+H27+H28)*0.302,2)</f>
        <v>10156.57</v>
      </c>
    </row>
    <row r="30" spans="1:8" ht="21.75" customHeight="1" x14ac:dyDescent="0.3">
      <c r="A30" s="18">
        <v>10</v>
      </c>
      <c r="B30" s="19" t="s">
        <v>6</v>
      </c>
      <c r="C30" s="20"/>
      <c r="D30" s="20"/>
      <c r="E30" s="20"/>
      <c r="F30" s="20"/>
      <c r="G30" s="20"/>
      <c r="H30" s="20"/>
    </row>
    <row r="31" spans="1:8" ht="21.75" customHeight="1" x14ac:dyDescent="0.3">
      <c r="A31" s="22"/>
      <c r="B31" s="24" t="s">
        <v>4</v>
      </c>
      <c r="C31" s="20"/>
      <c r="D31" s="20">
        <f>D21+D22+D23+D24+D25+D26+D27+D28+D29</f>
        <v>0</v>
      </c>
      <c r="E31" s="20"/>
      <c r="F31" s="20">
        <f>F21+F22+F23+F24+F25+F26+F27+F28+F29</f>
        <v>0</v>
      </c>
      <c r="G31" s="20"/>
      <c r="H31" s="20">
        <f>H21+H22+H23+H24+H25+H26+H27+H28+H29</f>
        <v>43787.61</v>
      </c>
    </row>
    <row r="32" spans="1:8" ht="21.75" customHeight="1" x14ac:dyDescent="0.3">
      <c r="A32" s="22"/>
      <c r="B32" s="24" t="s">
        <v>5</v>
      </c>
      <c r="C32" s="20"/>
      <c r="D32" s="20">
        <f t="shared" ref="D32" si="10">ROUND(D31*12,2)</f>
        <v>0</v>
      </c>
      <c r="E32" s="20"/>
      <c r="F32" s="20">
        <f t="shared" ref="F32" si="11">ROUND(F31*12,2)</f>
        <v>0</v>
      </c>
      <c r="G32" s="20"/>
      <c r="H32" s="20">
        <f t="shared" ref="H32" si="12">ROUND(H31*12,2)</f>
        <v>525451.31999999995</v>
      </c>
    </row>
    <row r="33" spans="1:8" ht="27.75" customHeight="1" x14ac:dyDescent="0.3">
      <c r="A33" s="22"/>
      <c r="B33" s="16" t="s">
        <v>13</v>
      </c>
      <c r="C33" s="17"/>
      <c r="D33" s="27"/>
      <c r="E33" s="22"/>
      <c r="F33" s="27"/>
      <c r="G33" s="22"/>
      <c r="H33" s="27"/>
    </row>
    <row r="34" spans="1:8" ht="70.5" customHeight="1" x14ac:dyDescent="0.3">
      <c r="A34" s="18">
        <v>1</v>
      </c>
      <c r="B34" s="19" t="s">
        <v>40</v>
      </c>
      <c r="C34" s="18">
        <v>0.25</v>
      </c>
      <c r="D34" s="20">
        <f>ROUND(12523*1.01375*C34,2)</f>
        <v>3173.8</v>
      </c>
      <c r="E34" s="18">
        <v>0.25</v>
      </c>
      <c r="F34" s="20">
        <f>ROUND(12523*1.01375*E34,2)</f>
        <v>3173.8</v>
      </c>
      <c r="G34" s="18">
        <v>0.25</v>
      </c>
      <c r="H34" s="20">
        <f>ROUND(12523*1.01375*G34,2)</f>
        <v>3173.8</v>
      </c>
    </row>
    <row r="35" spans="1:8" ht="33.75" customHeight="1" x14ac:dyDescent="0.3">
      <c r="A35" s="18">
        <v>2</v>
      </c>
      <c r="B35" s="19" t="s">
        <v>14</v>
      </c>
      <c r="C35" s="22"/>
      <c r="D35" s="20">
        <f>ROUND(D34*0.25,2)</f>
        <v>793.45</v>
      </c>
      <c r="E35" s="22"/>
      <c r="F35" s="20">
        <f>ROUND(F34*0.25,2)</f>
        <v>793.45</v>
      </c>
      <c r="G35" s="22"/>
      <c r="H35" s="20">
        <f>ROUND(H34*0.25,2)</f>
        <v>793.45</v>
      </c>
    </row>
    <row r="36" spans="1:8" ht="25.5" customHeight="1" x14ac:dyDescent="0.3">
      <c r="A36" s="18">
        <v>3</v>
      </c>
      <c r="B36" s="19" t="s">
        <v>15</v>
      </c>
      <c r="C36" s="22"/>
      <c r="D36" s="20"/>
      <c r="E36" s="22"/>
      <c r="F36" s="20"/>
      <c r="G36" s="22"/>
      <c r="H36" s="20">
        <f>ROUND(H34*0.1,2)</f>
        <v>317.38</v>
      </c>
    </row>
    <row r="37" spans="1:8" ht="49.5" customHeight="1" x14ac:dyDescent="0.3">
      <c r="A37" s="18">
        <v>4</v>
      </c>
      <c r="B37" s="19" t="s">
        <v>22</v>
      </c>
      <c r="C37" s="22"/>
      <c r="D37" s="20">
        <f>ROUND(D34*0.2,2)</f>
        <v>634.76</v>
      </c>
      <c r="E37" s="22"/>
      <c r="F37" s="20">
        <f>ROUND(F34*0.2,2)</f>
        <v>634.76</v>
      </c>
      <c r="G37" s="22"/>
      <c r="H37" s="20">
        <f>ROUND(H34*0.2,2)</f>
        <v>634.76</v>
      </c>
    </row>
    <row r="38" spans="1:8" ht="57" customHeight="1" x14ac:dyDescent="0.3">
      <c r="A38" s="18">
        <v>5</v>
      </c>
      <c r="B38" s="19" t="s">
        <v>16</v>
      </c>
      <c r="C38" s="20"/>
      <c r="D38" s="20">
        <f>ROUND((D34)*0.05,2)</f>
        <v>158.69</v>
      </c>
      <c r="E38" s="20"/>
      <c r="F38" s="20">
        <f>ROUND((F34)*0.05,2)</f>
        <v>158.69</v>
      </c>
      <c r="G38" s="20"/>
      <c r="H38" s="20">
        <f>ROUND((H34)*0.05,2)</f>
        <v>158.69</v>
      </c>
    </row>
    <row r="39" spans="1:8" ht="42" customHeight="1" x14ac:dyDescent="0.3">
      <c r="A39" s="18">
        <v>6</v>
      </c>
      <c r="B39" s="19" t="s">
        <v>12</v>
      </c>
      <c r="C39" s="20"/>
      <c r="D39" s="20">
        <f>ROUND(D34*0.6,2)</f>
        <v>1904.28</v>
      </c>
      <c r="E39" s="20"/>
      <c r="F39" s="20">
        <f>ROUND(F34*0.6,2)</f>
        <v>1904.28</v>
      </c>
      <c r="G39" s="20"/>
      <c r="H39" s="20">
        <f>ROUND(H34*0.6,2)</f>
        <v>1904.28</v>
      </c>
    </row>
    <row r="40" spans="1:8" ht="56.25" customHeight="1" x14ac:dyDescent="0.3">
      <c r="A40" s="18">
        <v>7</v>
      </c>
      <c r="B40" s="19" t="s">
        <v>18</v>
      </c>
      <c r="C40" s="20"/>
      <c r="D40" s="20">
        <f>ROUND((D34+D35+D36+D37+D38)*0.05,2)</f>
        <v>238.04</v>
      </c>
      <c r="E40" s="20"/>
      <c r="F40" s="20">
        <f t="shared" ref="F40:H40" si="13">ROUND((F34+F35+F36+F37+F38)*0.05,2)</f>
        <v>238.04</v>
      </c>
      <c r="G40" s="20"/>
      <c r="H40" s="20">
        <f t="shared" si="13"/>
        <v>253.9</v>
      </c>
    </row>
    <row r="41" spans="1:8" ht="55.5" customHeight="1" x14ac:dyDescent="0.3">
      <c r="A41" s="18">
        <v>8</v>
      </c>
      <c r="B41" s="19" t="s">
        <v>19</v>
      </c>
      <c r="C41" s="18"/>
      <c r="D41" s="18">
        <f>ROUND((D34+D35+D36+D37+D38)*0.01,2)</f>
        <v>47.61</v>
      </c>
      <c r="E41" s="18"/>
      <c r="F41" s="18">
        <f>ROUND((F34+F35+F36+F37+F38)*0.01,2)</f>
        <v>47.61</v>
      </c>
      <c r="G41" s="18"/>
      <c r="H41" s="18">
        <f t="shared" ref="H41" si="14">ROUND((H34+H35+H36+H37+H38)*0.01,2)</f>
        <v>50.78</v>
      </c>
    </row>
    <row r="42" spans="1:8" ht="21.75" customHeight="1" x14ac:dyDescent="0.3">
      <c r="A42" s="18">
        <v>9</v>
      </c>
      <c r="B42" s="19" t="s">
        <v>3</v>
      </c>
      <c r="C42" s="20"/>
      <c r="D42" s="23">
        <f>ROUND((D34+D35+D36+D37+D38+D39+D40+D41)*0.302,2)</f>
        <v>2099.09</v>
      </c>
      <c r="E42" s="23"/>
      <c r="F42" s="23">
        <f t="shared" ref="F42:H42" si="15">ROUND((F34+F35+F36+F37+F38+F39+F40+F41)*0.302,2)</f>
        <v>2099.09</v>
      </c>
      <c r="G42" s="23"/>
      <c r="H42" s="23">
        <f t="shared" si="15"/>
        <v>2200.69</v>
      </c>
    </row>
    <row r="43" spans="1:8" ht="41.25" customHeight="1" x14ac:dyDescent="0.3">
      <c r="A43" s="18">
        <v>10</v>
      </c>
      <c r="B43" s="19" t="s">
        <v>7</v>
      </c>
      <c r="C43" s="20"/>
      <c r="D43" s="23"/>
      <c r="E43" s="23"/>
      <c r="F43" s="23"/>
      <c r="G43" s="23"/>
      <c r="H43" s="23"/>
    </row>
    <row r="44" spans="1:8" x14ac:dyDescent="0.3">
      <c r="A44" s="22"/>
      <c r="B44" s="24" t="s">
        <v>4</v>
      </c>
      <c r="C44" s="20"/>
      <c r="D44" s="20">
        <f>D34+D35+D36+D37+D38+D39+D40+D41+D43</f>
        <v>6950.6299999999992</v>
      </c>
      <c r="E44" s="20"/>
      <c r="F44" s="20">
        <f t="shared" ref="F44:H44" si="16">F34+F35+F36+F37+F38+F39+F40+F41+F43</f>
        <v>6950.6299999999992</v>
      </c>
      <c r="G44" s="20"/>
      <c r="H44" s="20">
        <f t="shared" si="16"/>
        <v>7287.0399999999991</v>
      </c>
    </row>
    <row r="45" spans="1:8" x14ac:dyDescent="0.3">
      <c r="A45" s="22"/>
      <c r="B45" s="24" t="s">
        <v>5</v>
      </c>
      <c r="C45" s="20"/>
      <c r="D45" s="20">
        <f t="shared" ref="D45" si="17">ROUND(D44*12,2)</f>
        <v>83407.56</v>
      </c>
      <c r="E45" s="20"/>
      <c r="F45" s="20">
        <f t="shared" ref="F45:H45" si="18">ROUND(F44*12,2)</f>
        <v>83407.56</v>
      </c>
      <c r="G45" s="20"/>
      <c r="H45" s="20">
        <f t="shared" si="18"/>
        <v>87444.479999999996</v>
      </c>
    </row>
    <row r="46" spans="1:8" ht="30.75" customHeight="1" x14ac:dyDescent="0.3">
      <c r="A46" s="22"/>
      <c r="B46" s="16" t="s">
        <v>17</v>
      </c>
      <c r="C46" s="17"/>
      <c r="D46" s="20"/>
      <c r="E46" s="20"/>
      <c r="F46" s="20"/>
      <c r="G46" s="20"/>
      <c r="H46" s="20"/>
    </row>
    <row r="47" spans="1:8" ht="63.75" customHeight="1" x14ac:dyDescent="0.3">
      <c r="A47" s="18">
        <v>1</v>
      </c>
      <c r="B47" s="19" t="s">
        <v>42</v>
      </c>
      <c r="C47" s="18">
        <v>1.5</v>
      </c>
      <c r="D47" s="20">
        <f>ROUND(8707*1.01375*C47,2)</f>
        <v>13240.08</v>
      </c>
      <c r="E47" s="18">
        <v>1.25</v>
      </c>
      <c r="F47" s="20">
        <f>ROUND(8707*1.01375*E47,2)</f>
        <v>11033.4</v>
      </c>
      <c r="G47" s="18">
        <v>1.25</v>
      </c>
      <c r="H47" s="20">
        <f>ROUND(8707*1.01375*G47,2)</f>
        <v>11033.4</v>
      </c>
    </row>
    <row r="48" spans="1:8" ht="36" customHeight="1" x14ac:dyDescent="0.3">
      <c r="A48" s="18">
        <v>2</v>
      </c>
      <c r="B48" s="19" t="s">
        <v>11</v>
      </c>
      <c r="C48" s="18"/>
      <c r="D48" s="20"/>
      <c r="E48" s="18"/>
      <c r="F48" s="20"/>
      <c r="G48" s="18"/>
      <c r="H48" s="20">
        <f>ROUND(H47*0.1,2)</f>
        <v>1103.3399999999999</v>
      </c>
    </row>
    <row r="49" spans="1:10" ht="40.5" customHeight="1" x14ac:dyDescent="0.3">
      <c r="A49" s="18">
        <v>3</v>
      </c>
      <c r="B49" s="19" t="s">
        <v>23</v>
      </c>
      <c r="C49" s="22"/>
      <c r="D49" s="20">
        <f>ROUND(D47*0.3,0)</f>
        <v>3972</v>
      </c>
      <c r="E49" s="22"/>
      <c r="F49" s="20">
        <f>ROUND(F47*0.3,0)</f>
        <v>3310</v>
      </c>
      <c r="G49" s="22"/>
      <c r="H49" s="20">
        <f>ROUND(H47*0.3,0)</f>
        <v>3310</v>
      </c>
    </row>
    <row r="50" spans="1:10" ht="30.75" customHeight="1" x14ac:dyDescent="0.3">
      <c r="A50" s="18">
        <v>4</v>
      </c>
      <c r="B50" s="19" t="s">
        <v>20</v>
      </c>
      <c r="C50" s="20"/>
      <c r="D50" s="20">
        <f>ROUND((D47+D48+D49)*0.01,2)</f>
        <v>172.12</v>
      </c>
      <c r="E50" s="20"/>
      <c r="F50" s="20">
        <f>ROUND((F47+F48+F49)*0.01,2)</f>
        <v>143.43</v>
      </c>
      <c r="G50" s="20"/>
      <c r="H50" s="20">
        <f>ROUND((H47+H48+H49)*0.01,2)</f>
        <v>154.47</v>
      </c>
    </row>
    <row r="51" spans="1:10" ht="18" customHeight="1" x14ac:dyDescent="0.3">
      <c r="A51" s="18">
        <v>5</v>
      </c>
      <c r="B51" s="22" t="s">
        <v>21</v>
      </c>
      <c r="C51" s="20"/>
      <c r="D51" s="20">
        <f>ROUND((16242*C47-D47-D48-D49),2)</f>
        <v>7150.92</v>
      </c>
      <c r="E51" s="20"/>
      <c r="F51" s="20">
        <f>ROUND((16242*E47-F47-F48-F49),2)</f>
        <v>5959.1</v>
      </c>
      <c r="G51" s="20"/>
      <c r="H51" s="20">
        <f>ROUND((16242*G47-H47-H48-H49),2)</f>
        <v>4855.76</v>
      </c>
    </row>
    <row r="52" spans="1:10" ht="20.25" customHeight="1" x14ac:dyDescent="0.3">
      <c r="A52" s="18">
        <v>6</v>
      </c>
      <c r="B52" s="22" t="s">
        <v>9</v>
      </c>
      <c r="C52" s="20"/>
      <c r="D52" s="20">
        <f>ROUND(16242/29.3*28*C47/365*28,2)</f>
        <v>1786.02</v>
      </c>
      <c r="E52" s="20"/>
      <c r="F52" s="20">
        <f>ROUND(16242/29.3*28*E47/365*28,2)</f>
        <v>1488.35</v>
      </c>
      <c r="G52" s="20"/>
      <c r="H52" s="20">
        <f>ROUND(16242/29.3*28*G47/365*28,2)</f>
        <v>1488.35</v>
      </c>
    </row>
    <row r="53" spans="1:10" ht="17.25" customHeight="1" x14ac:dyDescent="0.3">
      <c r="A53" s="18">
        <v>7</v>
      </c>
      <c r="B53" s="19" t="s">
        <v>3</v>
      </c>
      <c r="C53" s="20"/>
      <c r="D53" s="20">
        <f>ROUND((D47+D48+D49+D50+D51+D52)*0.302,0)</f>
        <v>7949</v>
      </c>
      <c r="E53" s="20"/>
      <c r="F53" s="20">
        <f t="shared" ref="F53:H53" si="19">ROUND((F47+F48+F49+F50+F51+F52)*0.302,0)</f>
        <v>6624</v>
      </c>
      <c r="G53" s="20"/>
      <c r="H53" s="20">
        <f t="shared" si="19"/>
        <v>6627</v>
      </c>
    </row>
    <row r="54" spans="1:10" x14ac:dyDescent="0.3">
      <c r="A54" s="18">
        <v>8</v>
      </c>
      <c r="B54" s="19" t="s">
        <v>8</v>
      </c>
      <c r="C54" s="20"/>
      <c r="D54" s="20"/>
      <c r="E54" s="20"/>
      <c r="F54" s="20"/>
      <c r="G54" s="20"/>
      <c r="H54" s="20"/>
    </row>
    <row r="55" spans="1:10" x14ac:dyDescent="0.3">
      <c r="A55" s="22"/>
      <c r="B55" s="24" t="s">
        <v>4</v>
      </c>
      <c r="C55" s="20"/>
      <c r="D55" s="20">
        <f>D47+D48+D49+D50+D53+D51+D52</f>
        <v>34270.14</v>
      </c>
      <c r="E55" s="20"/>
      <c r="F55" s="20">
        <f>F47+F48+F49+F50+F53+F51+F52</f>
        <v>28558.28</v>
      </c>
      <c r="G55" s="20"/>
      <c r="H55" s="20">
        <f>H47+H48+H49+H50+H53+H51+H52</f>
        <v>28572.32</v>
      </c>
    </row>
    <row r="56" spans="1:10" x14ac:dyDescent="0.3">
      <c r="A56" s="22"/>
      <c r="B56" s="24" t="s">
        <v>5</v>
      </c>
      <c r="C56" s="22"/>
      <c r="D56" s="20">
        <f>ROUND(D55*12,0)</f>
        <v>411242</v>
      </c>
      <c r="E56" s="22"/>
      <c r="F56" s="20">
        <f>ROUND(F55*12,0)</f>
        <v>342699</v>
      </c>
      <c r="G56" s="22"/>
      <c r="H56" s="20">
        <f>ROUND(H55*12,0)</f>
        <v>342868</v>
      </c>
    </row>
    <row r="57" spans="1:10" ht="52.5" customHeight="1" x14ac:dyDescent="0.3">
      <c r="A57" s="22"/>
      <c r="B57" s="28" t="s">
        <v>24</v>
      </c>
      <c r="C57" s="27"/>
      <c r="D57" s="20">
        <f>D19+D45+D56+D32</f>
        <v>1563416.48</v>
      </c>
      <c r="E57" s="27"/>
      <c r="F57" s="20">
        <f>F19+F45+F56+F32</f>
        <v>1494873.48</v>
      </c>
      <c r="G57" s="27"/>
      <c r="H57" s="20">
        <f>H19+H45+H56+H32</f>
        <v>2347870.84</v>
      </c>
    </row>
    <row r="58" spans="1:10" ht="48.75" customHeight="1" x14ac:dyDescent="0.3">
      <c r="A58" s="22"/>
      <c r="B58" s="28" t="s">
        <v>34</v>
      </c>
      <c r="C58" s="29">
        <v>15</v>
      </c>
      <c r="D58" s="21">
        <f>ROUND(D57/C58,0)</f>
        <v>104228</v>
      </c>
      <c r="E58" s="29">
        <v>20</v>
      </c>
      <c r="F58" s="21">
        <f>ROUND(F57/E58,0)</f>
        <v>74744</v>
      </c>
      <c r="G58" s="29">
        <v>10</v>
      </c>
      <c r="H58" s="21">
        <f>ROUND(H57/G58,0)</f>
        <v>234787</v>
      </c>
      <c r="I58" s="30"/>
      <c r="J58" s="31"/>
    </row>
    <row r="59" spans="1:10" ht="75" customHeight="1" x14ac:dyDescent="0.3">
      <c r="A59" s="22"/>
      <c r="B59" s="28" t="s">
        <v>37</v>
      </c>
      <c r="C59" s="22"/>
      <c r="D59" s="21">
        <f>F58</f>
        <v>74744</v>
      </c>
      <c r="E59" s="22"/>
      <c r="F59" s="21">
        <f>F58</f>
        <v>74744</v>
      </c>
      <c r="G59" s="22"/>
      <c r="H59" s="21">
        <f>F58</f>
        <v>74744</v>
      </c>
    </row>
    <row r="60" spans="1:10" ht="119.25" hidden="1" customHeight="1" x14ac:dyDescent="0.3">
      <c r="A60" s="22"/>
      <c r="B60" s="32" t="s">
        <v>26</v>
      </c>
      <c r="C60" s="18"/>
      <c r="D60" s="18">
        <f>ROUND(D58/F59,3)</f>
        <v>1.3939999999999999</v>
      </c>
      <c r="E60" s="18"/>
      <c r="F60" s="18"/>
      <c r="G60" s="18"/>
      <c r="H60" s="18">
        <f>ROUND(H58/F59,3)</f>
        <v>3.141</v>
      </c>
    </row>
    <row r="61" spans="1:10" ht="184.5" customHeight="1" x14ac:dyDescent="0.3">
      <c r="A61" s="22"/>
      <c r="B61" s="33" t="s">
        <v>49</v>
      </c>
      <c r="C61" s="22"/>
      <c r="D61" s="21">
        <v>5631</v>
      </c>
      <c r="E61" s="21"/>
      <c r="F61" s="21">
        <v>4897</v>
      </c>
      <c r="G61" s="21"/>
      <c r="H61" s="21">
        <v>12732</v>
      </c>
    </row>
    <row r="62" spans="1:10" ht="207" customHeight="1" x14ac:dyDescent="0.3">
      <c r="A62" s="22"/>
      <c r="B62" s="33" t="s">
        <v>48</v>
      </c>
      <c r="C62" s="22"/>
      <c r="D62" s="21">
        <v>4897</v>
      </c>
      <c r="E62" s="21"/>
      <c r="F62" s="21">
        <v>4897</v>
      </c>
      <c r="G62" s="21"/>
      <c r="H62" s="21">
        <v>4897</v>
      </c>
    </row>
    <row r="63" spans="1:10" ht="50.25" customHeight="1" x14ac:dyDescent="0.3">
      <c r="A63" s="22"/>
      <c r="B63" s="19" t="s">
        <v>38</v>
      </c>
      <c r="C63" s="22"/>
      <c r="D63" s="21">
        <f>D59+D62</f>
        <v>79641</v>
      </c>
      <c r="E63" s="21"/>
      <c r="F63" s="21">
        <f>F59+F62</f>
        <v>79641</v>
      </c>
      <c r="G63" s="21"/>
      <c r="H63" s="21">
        <f>H59+H62</f>
        <v>79641</v>
      </c>
    </row>
    <row r="64" spans="1:10" ht="15" customHeight="1" x14ac:dyDescent="0.3">
      <c r="A64" s="34"/>
      <c r="B64" s="1"/>
      <c r="C64" s="1"/>
      <c r="D64" s="1"/>
    </row>
  </sheetData>
  <mergeCells count="11">
    <mergeCell ref="B46:C46"/>
    <mergeCell ref="G1:H1"/>
    <mergeCell ref="E4:F4"/>
    <mergeCell ref="A2:H2"/>
    <mergeCell ref="B6:C6"/>
    <mergeCell ref="C4:D4"/>
    <mergeCell ref="B3:B5"/>
    <mergeCell ref="A3:A5"/>
    <mergeCell ref="C3:H3"/>
    <mergeCell ref="G4:H4"/>
    <mergeCell ref="B33:C33"/>
  </mergeCells>
  <printOptions horizontalCentered="1"/>
  <pageMargins left="0" right="0" top="0.55118110236220474" bottom="0.35433070866141736" header="0" footer="0"/>
  <pageSetup paperSize="9" scale="37" orientation="portrait" r:id="rId1"/>
  <rowBreaks count="1" manualBreakCount="1">
    <brk id="45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2"/>
  <sheetViews>
    <sheetView tabSelected="1" view="pageBreakPreview" zoomScale="69" zoomScaleNormal="81" zoomScaleSheetLayoutView="69" workbookViewId="0">
      <pane xSplit="2" ySplit="4" topLeftCell="C5" activePane="bottomRight" state="frozen"/>
      <selection pane="topRight" activeCell="D1" sqref="D1"/>
      <selection pane="bottomLeft" activeCell="A5" sqref="A5"/>
      <selection pane="bottomRight" activeCell="B2" sqref="B2:B4"/>
    </sheetView>
  </sheetViews>
  <sheetFormatPr defaultRowHeight="18.75" x14ac:dyDescent="0.3"/>
  <cols>
    <col min="1" max="1" width="6.28515625" style="6" customWidth="1"/>
    <col min="2" max="2" width="75.42578125" style="6" customWidth="1"/>
    <col min="3" max="3" width="15.140625" style="6" customWidth="1"/>
    <col min="4" max="4" width="26.5703125" style="6" customWidth="1"/>
    <col min="5" max="5" width="22.42578125" style="6" customWidth="1"/>
    <col min="6" max="6" width="27" style="6" customWidth="1"/>
    <col min="7" max="16384" width="9.140625" style="6"/>
  </cols>
  <sheetData>
    <row r="1" spans="1:8" ht="78.75" customHeight="1" x14ac:dyDescent="0.3">
      <c r="A1" s="5" t="s">
        <v>43</v>
      </c>
      <c r="B1" s="5"/>
      <c r="C1" s="5"/>
      <c r="D1" s="5"/>
      <c r="E1" s="5"/>
      <c r="F1" s="5"/>
      <c r="G1" s="2"/>
    </row>
    <row r="2" spans="1:8" ht="67.5" customHeight="1" x14ac:dyDescent="0.3">
      <c r="A2" s="7" t="s">
        <v>1</v>
      </c>
      <c r="B2" s="7" t="s">
        <v>0</v>
      </c>
      <c r="C2" s="11" t="s">
        <v>30</v>
      </c>
      <c r="D2" s="11"/>
      <c r="E2" s="11"/>
      <c r="F2" s="11"/>
      <c r="G2" s="35"/>
      <c r="H2" s="35"/>
    </row>
    <row r="3" spans="1:8" s="12" customFormat="1" ht="51" customHeight="1" x14ac:dyDescent="0.25">
      <c r="A3" s="10"/>
      <c r="B3" s="10"/>
      <c r="C3" s="11" t="s">
        <v>35</v>
      </c>
      <c r="D3" s="11"/>
      <c r="E3" s="11" t="s">
        <v>44</v>
      </c>
      <c r="F3" s="11"/>
    </row>
    <row r="4" spans="1:8" ht="48.75" customHeight="1" x14ac:dyDescent="0.3">
      <c r="A4" s="13"/>
      <c r="B4" s="13"/>
      <c r="C4" s="15" t="s">
        <v>2</v>
      </c>
      <c r="D4" s="15" t="s">
        <v>36</v>
      </c>
      <c r="E4" s="15" t="s">
        <v>2</v>
      </c>
      <c r="F4" s="15" t="s">
        <v>36</v>
      </c>
    </row>
    <row r="5" spans="1:8" ht="31.5" customHeight="1" x14ac:dyDescent="0.3">
      <c r="A5" s="14"/>
      <c r="B5" s="16" t="s">
        <v>45</v>
      </c>
      <c r="C5" s="36"/>
      <c r="D5" s="15"/>
      <c r="E5" s="22"/>
      <c r="F5" s="22"/>
    </row>
    <row r="6" spans="1:8" ht="56.25" x14ac:dyDescent="0.3">
      <c r="A6" s="18">
        <v>1</v>
      </c>
      <c r="B6" s="19" t="s">
        <v>40</v>
      </c>
      <c r="C6" s="20">
        <v>1</v>
      </c>
      <c r="D6" s="20">
        <f>ROUND(14449*C6*1.01375,2)</f>
        <v>14647.67</v>
      </c>
      <c r="E6" s="20">
        <v>1</v>
      </c>
      <c r="F6" s="20">
        <f>ROUND(14449*E6*1.01375,2)</f>
        <v>14647.67</v>
      </c>
    </row>
    <row r="7" spans="1:8" ht="44.25" customHeight="1" x14ac:dyDescent="0.3">
      <c r="A7" s="18">
        <v>2</v>
      </c>
      <c r="B7" s="19" t="s">
        <v>14</v>
      </c>
      <c r="C7" s="20"/>
      <c r="D7" s="20">
        <f>ROUND(D6*0.25,2)</f>
        <v>3661.92</v>
      </c>
      <c r="E7" s="20"/>
      <c r="F7" s="20">
        <f>ROUND(F6*0.25,2)</f>
        <v>3661.92</v>
      </c>
    </row>
    <row r="8" spans="1:8" ht="50.25" customHeight="1" x14ac:dyDescent="0.3">
      <c r="A8" s="18">
        <v>3</v>
      </c>
      <c r="B8" s="19" t="s">
        <v>22</v>
      </c>
      <c r="C8" s="21"/>
      <c r="D8" s="20">
        <f>ROUND(D6*0.2,2)</f>
        <v>2929.53</v>
      </c>
      <c r="E8" s="21"/>
      <c r="F8" s="20">
        <f>ROUND(F6*0.2,2)</f>
        <v>2929.53</v>
      </c>
    </row>
    <row r="9" spans="1:8" ht="36" customHeight="1" x14ac:dyDescent="0.3">
      <c r="A9" s="18">
        <v>4</v>
      </c>
      <c r="B9" s="19" t="s">
        <v>28</v>
      </c>
      <c r="C9" s="21"/>
      <c r="D9" s="20">
        <f>ROUND(D6*0.2,2)</f>
        <v>2929.53</v>
      </c>
      <c r="E9" s="21"/>
      <c r="F9" s="20">
        <f>ROUND(F6*0.2,2)</f>
        <v>2929.53</v>
      </c>
    </row>
    <row r="10" spans="1:8" ht="60.75" customHeight="1" x14ac:dyDescent="0.3">
      <c r="A10" s="18">
        <v>5</v>
      </c>
      <c r="B10" s="19" t="s">
        <v>16</v>
      </c>
      <c r="C10" s="20"/>
      <c r="D10" s="20">
        <f>ROUND((D6)*0.05,2)</f>
        <v>732.38</v>
      </c>
      <c r="E10" s="20"/>
      <c r="F10" s="20">
        <f>ROUND((F6)*0.05,2)</f>
        <v>732.38</v>
      </c>
    </row>
    <row r="11" spans="1:8" ht="51" customHeight="1" x14ac:dyDescent="0.3">
      <c r="A11" s="18">
        <v>6</v>
      </c>
      <c r="B11" s="19" t="s">
        <v>47</v>
      </c>
      <c r="C11" s="20"/>
      <c r="D11" s="20">
        <f>ROUND(D6*0.4,2)</f>
        <v>5859.07</v>
      </c>
      <c r="E11" s="20"/>
      <c r="F11" s="20">
        <f>ROUND(F6*0.4,2)</f>
        <v>5859.07</v>
      </c>
    </row>
    <row r="12" spans="1:8" ht="64.5" customHeight="1" x14ac:dyDescent="0.3">
      <c r="A12" s="18">
        <v>7</v>
      </c>
      <c r="B12" s="19" t="s">
        <v>18</v>
      </c>
      <c r="C12" s="20"/>
      <c r="D12" s="20">
        <f>ROUND((D6+D7+D8+D9+D10)*0.05,2)</f>
        <v>1245.05</v>
      </c>
      <c r="E12" s="20"/>
      <c r="F12" s="20">
        <f>ROUND((F6+F7+F8+F9+F10)*0.05,2)</f>
        <v>1245.05</v>
      </c>
    </row>
    <row r="13" spans="1:8" ht="69" customHeight="1" x14ac:dyDescent="0.3">
      <c r="A13" s="18">
        <v>8</v>
      </c>
      <c r="B13" s="19" t="s">
        <v>19</v>
      </c>
      <c r="C13" s="18"/>
      <c r="D13" s="18">
        <f>ROUND((D6+D7+D8+D9+D10)*0.01,2)</f>
        <v>249.01</v>
      </c>
      <c r="E13" s="18"/>
      <c r="F13" s="18">
        <f>ROUND((F6+F7+F8+F9+F10)*0.01,2)</f>
        <v>249.01</v>
      </c>
    </row>
    <row r="14" spans="1:8" ht="24.75" customHeight="1" x14ac:dyDescent="0.3">
      <c r="A14" s="18">
        <v>9</v>
      </c>
      <c r="B14" s="22" t="s">
        <v>9</v>
      </c>
      <c r="C14" s="20"/>
      <c r="D14" s="20">
        <f>ROUND((D6+D7+D9+D8+D10+D11+D12)/29.3*42/12,2)</f>
        <v>3823.14</v>
      </c>
      <c r="E14" s="20"/>
      <c r="F14" s="20">
        <f>ROUND((F6+F7+F9+F8+F10+F11+F12)/29.3*42/12,2)</f>
        <v>3823.14</v>
      </c>
    </row>
    <row r="15" spans="1:8" ht="39" customHeight="1" x14ac:dyDescent="0.3">
      <c r="A15" s="18">
        <v>10</v>
      </c>
      <c r="B15" s="19" t="s">
        <v>3</v>
      </c>
      <c r="C15" s="23"/>
      <c r="D15" s="23">
        <f>ROUND((D6+D7+D9+D8+D10+D11+D12+D13+D14)*0.302,2)</f>
        <v>10895.34</v>
      </c>
      <c r="E15" s="23"/>
      <c r="F15" s="23">
        <f>ROUND((F6+F7+F9+F8+F10+F11+F12+F13+F14)*0.302,2)</f>
        <v>10895.34</v>
      </c>
    </row>
    <row r="16" spans="1:8" ht="36" customHeight="1" x14ac:dyDescent="0.3">
      <c r="A16" s="18">
        <v>11</v>
      </c>
      <c r="B16" s="19" t="s">
        <v>46</v>
      </c>
      <c r="C16" s="20"/>
      <c r="D16" s="20"/>
      <c r="E16" s="20"/>
      <c r="F16" s="20"/>
    </row>
    <row r="17" spans="1:6" ht="23.25" customHeight="1" x14ac:dyDescent="0.3">
      <c r="A17" s="22"/>
      <c r="B17" s="24" t="s">
        <v>4</v>
      </c>
      <c r="C17" s="20"/>
      <c r="D17" s="20">
        <f>D6+D7+D9+D8+D10+D11+D12+D13+D15+D14</f>
        <v>46972.639999999999</v>
      </c>
      <c r="E17" s="20"/>
      <c r="F17" s="20">
        <f>F6+F7+F9+F8+F10+F11+F12+F13+F15+F14</f>
        <v>46972.639999999999</v>
      </c>
    </row>
    <row r="18" spans="1:6" ht="24.75" customHeight="1" x14ac:dyDescent="0.3">
      <c r="A18" s="22"/>
      <c r="B18" s="24" t="s">
        <v>5</v>
      </c>
      <c r="C18" s="20"/>
      <c r="D18" s="20">
        <f t="shared" ref="D18" si="0">ROUND(D17*12,2)</f>
        <v>563671.68000000005</v>
      </c>
      <c r="E18" s="20"/>
      <c r="F18" s="20">
        <f t="shared" ref="F18" si="1">ROUND(F17*12,2)</f>
        <v>563671.68000000005</v>
      </c>
    </row>
    <row r="19" spans="1:6" ht="31.5" customHeight="1" x14ac:dyDescent="0.3">
      <c r="A19" s="14"/>
      <c r="B19" s="16" t="s">
        <v>10</v>
      </c>
      <c r="C19" s="36"/>
      <c r="D19" s="15"/>
      <c r="E19" s="22"/>
      <c r="F19" s="22"/>
    </row>
    <row r="20" spans="1:6" ht="56.25" x14ac:dyDescent="0.3">
      <c r="A20" s="18">
        <v>1</v>
      </c>
      <c r="B20" s="19" t="s">
        <v>40</v>
      </c>
      <c r="C20" s="20">
        <v>1.25</v>
      </c>
      <c r="D20" s="20">
        <f>ROUND(13772*C20*1.01375,2)</f>
        <v>17451.71</v>
      </c>
      <c r="E20" s="20">
        <v>1.39</v>
      </c>
      <c r="F20" s="20">
        <f>ROUND(13772*E20*1.01375,2)</f>
        <v>19406.3</v>
      </c>
    </row>
    <row r="21" spans="1:6" ht="44.25" customHeight="1" x14ac:dyDescent="0.3">
      <c r="A21" s="18">
        <v>2</v>
      </c>
      <c r="B21" s="19" t="s">
        <v>14</v>
      </c>
      <c r="C21" s="20"/>
      <c r="D21" s="20">
        <f>ROUND(D20*0.25,2)</f>
        <v>4362.93</v>
      </c>
      <c r="E21" s="20"/>
      <c r="F21" s="20">
        <f>ROUND(F20*0.25,2)</f>
        <v>4851.58</v>
      </c>
    </row>
    <row r="22" spans="1:6" ht="50.25" customHeight="1" x14ac:dyDescent="0.3">
      <c r="A22" s="18">
        <v>3</v>
      </c>
      <c r="B22" s="19" t="s">
        <v>22</v>
      </c>
      <c r="C22" s="21"/>
      <c r="D22" s="20">
        <f>ROUND(D20*0.2,2)</f>
        <v>3490.34</v>
      </c>
      <c r="E22" s="21"/>
      <c r="F22" s="20">
        <f>ROUND(F20*0.2,2)</f>
        <v>3881.26</v>
      </c>
    </row>
    <row r="23" spans="1:6" ht="36" customHeight="1" x14ac:dyDescent="0.3">
      <c r="A23" s="18">
        <v>4</v>
      </c>
      <c r="B23" s="19" t="s">
        <v>28</v>
      </c>
      <c r="C23" s="21"/>
      <c r="D23" s="20">
        <f>ROUND(D20*0.2,2)</f>
        <v>3490.34</v>
      </c>
      <c r="E23" s="21"/>
      <c r="F23" s="20">
        <f>ROUND(F20*0.2,2)</f>
        <v>3881.26</v>
      </c>
    </row>
    <row r="24" spans="1:6" ht="66" customHeight="1" x14ac:dyDescent="0.3">
      <c r="A24" s="18">
        <v>5</v>
      </c>
      <c r="B24" s="19" t="s">
        <v>16</v>
      </c>
      <c r="C24" s="20"/>
      <c r="D24" s="20">
        <f>ROUND((D20)*0.05,2)</f>
        <v>872.59</v>
      </c>
      <c r="E24" s="20"/>
      <c r="F24" s="20">
        <f>ROUND((F20)*0.05,2)</f>
        <v>970.32</v>
      </c>
    </row>
    <row r="25" spans="1:6" ht="51" customHeight="1" x14ac:dyDescent="0.3">
      <c r="A25" s="18">
        <v>6</v>
      </c>
      <c r="B25" s="19" t="s">
        <v>47</v>
      </c>
      <c r="C25" s="20"/>
      <c r="D25" s="20">
        <f>ROUND(D20*0.4,2)</f>
        <v>6980.68</v>
      </c>
      <c r="E25" s="20"/>
      <c r="F25" s="20">
        <f>ROUND(F20*0.4,2)</f>
        <v>7762.52</v>
      </c>
    </row>
    <row r="26" spans="1:6" ht="64.5" customHeight="1" x14ac:dyDescent="0.3">
      <c r="A26" s="18">
        <v>7</v>
      </c>
      <c r="B26" s="19" t="s">
        <v>18</v>
      </c>
      <c r="C26" s="20"/>
      <c r="D26" s="20">
        <f>ROUND((D20+D21+D22+D23+D24)*0.05,2)</f>
        <v>1483.4</v>
      </c>
      <c r="E26" s="20"/>
      <c r="F26" s="20">
        <f>ROUND((F20+F21+F22+F23+F24)*0.05,2)</f>
        <v>1649.54</v>
      </c>
    </row>
    <row r="27" spans="1:6" ht="69" customHeight="1" x14ac:dyDescent="0.3">
      <c r="A27" s="18">
        <v>8</v>
      </c>
      <c r="B27" s="19" t="s">
        <v>19</v>
      </c>
      <c r="C27" s="18"/>
      <c r="D27" s="18">
        <f>ROUND((D20+D21+D22+D23+D24)*0.01,2)</f>
        <v>296.68</v>
      </c>
      <c r="E27" s="18"/>
      <c r="F27" s="18">
        <f>ROUND((F20+F21+F22+F23+F24)*0.01,2)</f>
        <v>329.91</v>
      </c>
    </row>
    <row r="28" spans="1:6" ht="24.75" customHeight="1" x14ac:dyDescent="0.3">
      <c r="A28" s="18">
        <v>9</v>
      </c>
      <c r="B28" s="22" t="s">
        <v>9</v>
      </c>
      <c r="C28" s="20"/>
      <c r="D28" s="20">
        <f>ROUND((D20+D21++D23+D22+D24+D25+D26)/29.3*42/12,2)</f>
        <v>4555.0200000000004</v>
      </c>
      <c r="E28" s="20"/>
      <c r="F28" s="20">
        <f>ROUND((F20+F21++F23+F22+F24+F25+F26)/29.3*42/12,2)</f>
        <v>5065.18</v>
      </c>
    </row>
    <row r="29" spans="1:6" ht="39" customHeight="1" x14ac:dyDescent="0.3">
      <c r="A29" s="18">
        <v>10</v>
      </c>
      <c r="B29" s="19" t="s">
        <v>3</v>
      </c>
      <c r="C29" s="23"/>
      <c r="D29" s="23">
        <f>ROUND((D20+D21+D23+D22+D24+D25+D26+D27+D28)*0.302,2)</f>
        <v>12981.07</v>
      </c>
      <c r="E29" s="23"/>
      <c r="F29" s="23">
        <f>ROUND((F20+F21+F23+F22+F24+F25+F26+F27+F28)*0.302,2)</f>
        <v>14434.96</v>
      </c>
    </row>
    <row r="30" spans="1:6" ht="36" customHeight="1" x14ac:dyDescent="0.3">
      <c r="A30" s="18">
        <v>11</v>
      </c>
      <c r="B30" s="19" t="s">
        <v>6</v>
      </c>
      <c r="C30" s="20"/>
      <c r="D30" s="20"/>
      <c r="E30" s="20"/>
      <c r="F30" s="20"/>
    </row>
    <row r="31" spans="1:6" ht="23.25" customHeight="1" x14ac:dyDescent="0.3">
      <c r="A31" s="22"/>
      <c r="B31" s="24" t="s">
        <v>4</v>
      </c>
      <c r="C31" s="20"/>
      <c r="D31" s="20">
        <f>D20+D21+D23+D22+D24+D25+D26+D27+D29+D28</f>
        <v>55964.759999999995</v>
      </c>
      <c r="E31" s="20"/>
      <c r="F31" s="20">
        <f>F20+F21+F23+F22+F24+F25+F26+F27+F29+F28</f>
        <v>62232.830000000009</v>
      </c>
    </row>
    <row r="32" spans="1:6" ht="24.75" customHeight="1" x14ac:dyDescent="0.3">
      <c r="A32" s="22"/>
      <c r="B32" s="24" t="s">
        <v>5</v>
      </c>
      <c r="C32" s="20"/>
      <c r="D32" s="20">
        <f t="shared" ref="D32:F32" si="2">ROUND(D31*12,2)</f>
        <v>671577.12</v>
      </c>
      <c r="E32" s="20"/>
      <c r="F32" s="20">
        <f t="shared" si="2"/>
        <v>746793.96</v>
      </c>
    </row>
    <row r="33" spans="1:6" ht="45" customHeight="1" x14ac:dyDescent="0.3">
      <c r="A33" s="22"/>
      <c r="B33" s="16" t="s">
        <v>13</v>
      </c>
      <c r="C33" s="36"/>
      <c r="D33" s="27"/>
      <c r="E33" s="22"/>
      <c r="F33" s="22"/>
    </row>
    <row r="34" spans="1:6" ht="56.25" x14ac:dyDescent="0.3">
      <c r="A34" s="18">
        <v>1</v>
      </c>
      <c r="B34" s="19" t="s">
        <v>40</v>
      </c>
      <c r="C34" s="18">
        <v>0.25</v>
      </c>
      <c r="D34" s="20">
        <f>ROUND(12523*1.01375*C34,2)</f>
        <v>3173.8</v>
      </c>
      <c r="E34" s="18">
        <v>0.25</v>
      </c>
      <c r="F34" s="20">
        <f>ROUND(12523*1.01375*E34,2)</f>
        <v>3173.8</v>
      </c>
    </row>
    <row r="35" spans="1:6" ht="52.5" customHeight="1" x14ac:dyDescent="0.3">
      <c r="A35" s="18">
        <v>2</v>
      </c>
      <c r="B35" s="19" t="s">
        <v>14</v>
      </c>
      <c r="C35" s="22"/>
      <c r="D35" s="20">
        <f>ROUND(D34*0.25,2)</f>
        <v>793.45</v>
      </c>
      <c r="E35" s="22"/>
      <c r="F35" s="20">
        <f>ROUND(F34*0.25,2)</f>
        <v>793.45</v>
      </c>
    </row>
    <row r="36" spans="1:6" ht="37.5" x14ac:dyDescent="0.3">
      <c r="A36" s="18">
        <v>3</v>
      </c>
      <c r="B36" s="19" t="s">
        <v>22</v>
      </c>
      <c r="C36" s="22"/>
      <c r="D36" s="20">
        <f>ROUND(D34*0.2,2)</f>
        <v>634.76</v>
      </c>
      <c r="E36" s="22"/>
      <c r="F36" s="20">
        <f>ROUND(F34*0.2,2)</f>
        <v>634.76</v>
      </c>
    </row>
    <row r="37" spans="1:6" ht="45" customHeight="1" x14ac:dyDescent="0.3">
      <c r="A37" s="18">
        <v>4</v>
      </c>
      <c r="B37" s="19" t="s">
        <v>28</v>
      </c>
      <c r="C37" s="22"/>
      <c r="D37" s="20">
        <f>ROUND(D34*0.2,2)</f>
        <v>634.76</v>
      </c>
      <c r="E37" s="22"/>
      <c r="F37" s="20">
        <f>ROUND(F34*0.2,2)</f>
        <v>634.76</v>
      </c>
    </row>
    <row r="38" spans="1:6" ht="56.25" x14ac:dyDescent="0.3">
      <c r="A38" s="18">
        <v>5</v>
      </c>
      <c r="B38" s="19" t="s">
        <v>16</v>
      </c>
      <c r="C38" s="20"/>
      <c r="D38" s="20">
        <f>ROUND((D34)*0.05,2)</f>
        <v>158.69</v>
      </c>
      <c r="E38" s="20"/>
      <c r="F38" s="20">
        <f>ROUND((F34)*0.05,2)</f>
        <v>158.69</v>
      </c>
    </row>
    <row r="39" spans="1:6" ht="37.5" x14ac:dyDescent="0.3">
      <c r="A39" s="18">
        <v>6</v>
      </c>
      <c r="B39" s="19" t="s">
        <v>47</v>
      </c>
      <c r="C39" s="20"/>
      <c r="D39" s="20">
        <f>ROUND(D34*0.4,2)</f>
        <v>1269.52</v>
      </c>
      <c r="E39" s="20"/>
      <c r="F39" s="20">
        <f>ROUND(F34*0.4,2)</f>
        <v>1269.52</v>
      </c>
    </row>
    <row r="40" spans="1:6" ht="56.25" x14ac:dyDescent="0.3">
      <c r="A40" s="18">
        <v>7</v>
      </c>
      <c r="B40" s="19" t="s">
        <v>18</v>
      </c>
      <c r="C40" s="20"/>
      <c r="D40" s="20">
        <f>ROUND((D34+D35+D37+D36+D38)*0.05,2)</f>
        <v>269.77</v>
      </c>
      <c r="E40" s="20"/>
      <c r="F40" s="20">
        <f>ROUND((F34+F35+F37+F36+F38)*0.05,2)</f>
        <v>269.77</v>
      </c>
    </row>
    <row r="41" spans="1:6" ht="68.25" customHeight="1" x14ac:dyDescent="0.3">
      <c r="A41" s="18">
        <v>8</v>
      </c>
      <c r="B41" s="19" t="s">
        <v>19</v>
      </c>
      <c r="C41" s="18"/>
      <c r="D41" s="18">
        <f>ROUND((D34+D35+D37+D36+D38)*0.01,2)</f>
        <v>53.95</v>
      </c>
      <c r="E41" s="18"/>
      <c r="F41" s="18">
        <f>ROUND((F34+F35+F37+F36+F38)*0.01,2)</f>
        <v>53.95</v>
      </c>
    </row>
    <row r="42" spans="1:6" ht="42" customHeight="1" x14ac:dyDescent="0.3">
      <c r="A42" s="18">
        <v>9</v>
      </c>
      <c r="B42" s="19" t="s">
        <v>3</v>
      </c>
      <c r="C42" s="20"/>
      <c r="D42" s="23">
        <f>ROUND((D34+D35+D37+D36+D38+D39+D40+D41)*0.302,2)</f>
        <v>2110.59</v>
      </c>
      <c r="E42" s="20"/>
      <c r="F42" s="23">
        <f>ROUND((F34+F35+F37+F36+F38+F39+F40+F41)*0.302,2)</f>
        <v>2110.59</v>
      </c>
    </row>
    <row r="43" spans="1:6" ht="48" customHeight="1" x14ac:dyDescent="0.3">
      <c r="A43" s="18">
        <v>10</v>
      </c>
      <c r="B43" s="19" t="s">
        <v>7</v>
      </c>
      <c r="C43" s="20"/>
      <c r="D43" s="23"/>
      <c r="E43" s="20"/>
      <c r="F43" s="23"/>
    </row>
    <row r="44" spans="1:6" x14ac:dyDescent="0.3">
      <c r="A44" s="22"/>
      <c r="B44" s="24" t="s">
        <v>4</v>
      </c>
      <c r="C44" s="20"/>
      <c r="D44" s="20">
        <f>D34+D35+D37+D36+D38+D39+D40+D41+D43</f>
        <v>6988.7</v>
      </c>
      <c r="E44" s="20"/>
      <c r="F44" s="20">
        <f>F34+F35+F37+F36+F38+F39+F40+F41+F43</f>
        <v>6988.7</v>
      </c>
    </row>
    <row r="45" spans="1:6" x14ac:dyDescent="0.3">
      <c r="A45" s="22"/>
      <c r="B45" s="24" t="s">
        <v>5</v>
      </c>
      <c r="C45" s="20"/>
      <c r="D45" s="20">
        <f t="shared" ref="D45:F45" si="3">ROUND(D44*12,2)</f>
        <v>83864.399999999994</v>
      </c>
      <c r="E45" s="20"/>
      <c r="F45" s="20">
        <f t="shared" si="3"/>
        <v>83864.399999999994</v>
      </c>
    </row>
    <row r="46" spans="1:6" ht="30.75" customHeight="1" x14ac:dyDescent="0.3">
      <c r="A46" s="22"/>
      <c r="B46" s="16" t="s">
        <v>17</v>
      </c>
      <c r="C46" s="36"/>
      <c r="D46" s="20"/>
      <c r="E46" s="22"/>
      <c r="F46" s="22"/>
    </row>
    <row r="47" spans="1:6" ht="75" x14ac:dyDescent="0.3">
      <c r="A47" s="18">
        <v>1</v>
      </c>
      <c r="B47" s="19" t="s">
        <v>42</v>
      </c>
      <c r="C47" s="18">
        <v>1.125</v>
      </c>
      <c r="D47" s="20">
        <f>ROUND(8707*1.01375*C47,2)</f>
        <v>9930.06</v>
      </c>
      <c r="E47" s="18">
        <v>1.25</v>
      </c>
      <c r="F47" s="20">
        <f>ROUND(8707*1.01375*E47,2)</f>
        <v>11033.4</v>
      </c>
    </row>
    <row r="48" spans="1:6" ht="42.75" customHeight="1" x14ac:dyDescent="0.3">
      <c r="A48" s="18">
        <v>2</v>
      </c>
      <c r="B48" s="19" t="s">
        <v>23</v>
      </c>
      <c r="C48" s="22"/>
      <c r="D48" s="20">
        <f>ROUND(D47*0.3,0)</f>
        <v>2979</v>
      </c>
      <c r="E48" s="22"/>
      <c r="F48" s="20">
        <f>ROUND(F47*0.3,0)</f>
        <v>3310</v>
      </c>
    </row>
    <row r="49" spans="1:6" ht="41.25" customHeight="1" x14ac:dyDescent="0.3">
      <c r="A49" s="18">
        <v>3</v>
      </c>
      <c r="B49" s="19" t="s">
        <v>20</v>
      </c>
      <c r="C49" s="20"/>
      <c r="D49" s="20">
        <f>ROUND((D47+D48)*0.01,2)</f>
        <v>129.09</v>
      </c>
      <c r="E49" s="20"/>
      <c r="F49" s="20">
        <f>ROUND((F47+F48)*0.01,2)</f>
        <v>143.43</v>
      </c>
    </row>
    <row r="50" spans="1:6" ht="18" customHeight="1" x14ac:dyDescent="0.3">
      <c r="A50" s="18">
        <v>4</v>
      </c>
      <c r="B50" s="22" t="s">
        <v>21</v>
      </c>
      <c r="C50" s="20"/>
      <c r="D50" s="20">
        <f>ROUND((16242*C47-D47-D48),2)</f>
        <v>5363.19</v>
      </c>
      <c r="E50" s="20"/>
      <c r="F50" s="20">
        <f>ROUND((16242*E47-F47-F48),2)</f>
        <v>5959.1</v>
      </c>
    </row>
    <row r="51" spans="1:6" ht="22.5" customHeight="1" x14ac:dyDescent="0.3">
      <c r="A51" s="18">
        <v>5</v>
      </c>
      <c r="B51" s="22" t="s">
        <v>9</v>
      </c>
      <c r="C51" s="20"/>
      <c r="D51" s="20">
        <f>ROUND(16242/29.3*28*C47/365*28,2)</f>
        <v>1339.52</v>
      </c>
      <c r="E51" s="20"/>
      <c r="F51" s="20">
        <f>ROUND(16242/29.3*28*E47/365*28,2)</f>
        <v>1488.35</v>
      </c>
    </row>
    <row r="52" spans="1:6" x14ac:dyDescent="0.3">
      <c r="A52" s="18">
        <v>6</v>
      </c>
      <c r="B52" s="19" t="s">
        <v>3</v>
      </c>
      <c r="C52" s="20"/>
      <c r="D52" s="20">
        <f>ROUND((D47+D48+D49+D50+D51)*0.302,0)</f>
        <v>5962</v>
      </c>
      <c r="E52" s="20"/>
      <c r="F52" s="20">
        <f>ROUND((F47+F48+F49+F50+F51)*0.302,0)</f>
        <v>6624</v>
      </c>
    </row>
    <row r="53" spans="1:6" x14ac:dyDescent="0.3">
      <c r="A53" s="18">
        <v>7</v>
      </c>
      <c r="B53" s="19" t="s">
        <v>8</v>
      </c>
      <c r="C53" s="20"/>
      <c r="D53" s="20"/>
      <c r="E53" s="20"/>
      <c r="F53" s="20"/>
    </row>
    <row r="54" spans="1:6" x14ac:dyDescent="0.3">
      <c r="A54" s="22"/>
      <c r="B54" s="24" t="s">
        <v>4</v>
      </c>
      <c r="C54" s="20"/>
      <c r="D54" s="20">
        <f>D47+D48+D49+D52+D50+D51</f>
        <v>25702.86</v>
      </c>
      <c r="E54" s="20"/>
      <c r="F54" s="20">
        <f>F47+F48+F49+F52+F50+F51</f>
        <v>28558.28</v>
      </c>
    </row>
    <row r="55" spans="1:6" x14ac:dyDescent="0.3">
      <c r="A55" s="22"/>
      <c r="B55" s="24" t="s">
        <v>5</v>
      </c>
      <c r="C55" s="22"/>
      <c r="D55" s="20">
        <f>ROUND(D54*12,0)</f>
        <v>308434</v>
      </c>
      <c r="E55" s="22"/>
      <c r="F55" s="20">
        <f>ROUND(F54*12,0)</f>
        <v>342699</v>
      </c>
    </row>
    <row r="56" spans="1:6" ht="49.5" customHeight="1" x14ac:dyDescent="0.3">
      <c r="A56" s="22"/>
      <c r="B56" s="28" t="s">
        <v>24</v>
      </c>
      <c r="C56" s="27"/>
      <c r="D56" s="20">
        <f>D32+D45+D55+D18</f>
        <v>1627547.2000000002</v>
      </c>
      <c r="E56" s="27"/>
      <c r="F56" s="20">
        <f>F32+F45+F55+F18</f>
        <v>1737029.04</v>
      </c>
    </row>
    <row r="57" spans="1:6" ht="54.75" customHeight="1" x14ac:dyDescent="0.3">
      <c r="A57" s="22"/>
      <c r="B57" s="28" t="s">
        <v>34</v>
      </c>
      <c r="C57" s="29">
        <v>20</v>
      </c>
      <c r="D57" s="21">
        <f>ROUND(D56/C57,0)</f>
        <v>81377</v>
      </c>
      <c r="E57" s="29">
        <v>20</v>
      </c>
      <c r="F57" s="21">
        <f>ROUND(F56/E57,0)</f>
        <v>86851</v>
      </c>
    </row>
    <row r="58" spans="1:6" ht="90" customHeight="1" x14ac:dyDescent="0.3">
      <c r="A58" s="22"/>
      <c r="B58" s="28" t="s">
        <v>25</v>
      </c>
      <c r="C58" s="22"/>
      <c r="D58" s="21">
        <f>D57</f>
        <v>81377</v>
      </c>
      <c r="E58" s="22"/>
      <c r="F58" s="21">
        <f>D57</f>
        <v>81377</v>
      </c>
    </row>
    <row r="59" spans="1:6" ht="3" hidden="1" customHeight="1" x14ac:dyDescent="0.3">
      <c r="A59" s="22"/>
      <c r="B59" s="32" t="s">
        <v>26</v>
      </c>
      <c r="C59" s="18"/>
      <c r="D59" s="37">
        <f>ROUND(D58/D57,3)</f>
        <v>1</v>
      </c>
      <c r="E59" s="18"/>
      <c r="F59" s="37">
        <f>ROUND(F58/F57,3)</f>
        <v>0.93700000000000006</v>
      </c>
    </row>
    <row r="60" spans="1:6" ht="242.25" customHeight="1" x14ac:dyDescent="0.3">
      <c r="A60" s="22"/>
      <c r="B60" s="33" t="s">
        <v>49</v>
      </c>
      <c r="C60" s="22"/>
      <c r="D60" s="21">
        <v>4059</v>
      </c>
      <c r="E60" s="22"/>
      <c r="F60" s="21">
        <v>4059</v>
      </c>
    </row>
    <row r="61" spans="1:6" ht="261" customHeight="1" x14ac:dyDescent="0.3">
      <c r="A61" s="22"/>
      <c r="B61" s="33" t="s">
        <v>48</v>
      </c>
      <c r="C61" s="22"/>
      <c r="D61" s="21">
        <v>4059</v>
      </c>
      <c r="E61" s="22"/>
      <c r="F61" s="21">
        <v>4059</v>
      </c>
    </row>
    <row r="62" spans="1:6" ht="48" customHeight="1" x14ac:dyDescent="0.3">
      <c r="A62" s="22"/>
      <c r="B62" s="28" t="s">
        <v>27</v>
      </c>
      <c r="C62" s="22"/>
      <c r="D62" s="21">
        <f>D58+D60</f>
        <v>85436</v>
      </c>
      <c r="E62" s="22"/>
      <c r="F62" s="21">
        <f>F58+F60</f>
        <v>85436</v>
      </c>
    </row>
  </sheetData>
  <mergeCells count="10">
    <mergeCell ref="A2:A4"/>
    <mergeCell ref="A1:F1"/>
    <mergeCell ref="C2:F2"/>
    <mergeCell ref="E3:F3"/>
    <mergeCell ref="B5:C5"/>
    <mergeCell ref="B19:C19"/>
    <mergeCell ref="B33:C33"/>
    <mergeCell ref="B46:C46"/>
    <mergeCell ref="C3:D3"/>
    <mergeCell ref="B2:B4"/>
  </mergeCells>
  <printOptions horizontalCentered="1"/>
  <pageMargins left="0" right="0" top="0.55118110236220474" bottom="0.35433070866141736" header="0" footer="0"/>
  <pageSetup paperSize="9" scale="37" orientation="portrait" r:id="rId1"/>
  <rowBreaks count="1" manualBreakCount="1">
    <brk id="45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Город-12 часов</vt:lpstr>
      <vt:lpstr>Село-9 часов</vt:lpstr>
      <vt:lpstr>'Город-12 часов'!Заголовки_для_печати</vt:lpstr>
      <vt:lpstr>'Село-9 часов'!Заголовки_для_печати</vt:lpstr>
      <vt:lpstr>'Город-12 часов'!Область_печати</vt:lpstr>
      <vt:lpstr>'Село-9 часов'!Область_печати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2023-05-26T09:22:26Z</dcterms:modified>
</cp:coreProperties>
</file>