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часов'!$A$1:$H$64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H63" i="9" l="1"/>
  <c r="F47" i="10" l="1"/>
  <c r="D47" i="10"/>
  <c r="F34" i="10"/>
  <c r="D34" i="10"/>
  <c r="F20" i="10"/>
  <c r="D20" i="10"/>
  <c r="F6" i="10"/>
  <c r="D6" i="10"/>
  <c r="F51" i="10"/>
  <c r="D51" i="10"/>
  <c r="D63" i="9"/>
  <c r="F62" i="9"/>
  <c r="D62" i="9"/>
  <c r="D7" i="10" l="1"/>
  <c r="D8" i="10"/>
  <c r="D9" i="10"/>
  <c r="D10" i="10"/>
  <c r="D11" i="10"/>
  <c r="D12" i="10"/>
  <c r="D13" i="10"/>
  <c r="D14" i="10"/>
  <c r="D15" i="10" s="1"/>
  <c r="D21" i="10"/>
  <c r="D22" i="10"/>
  <c r="D23" i="10"/>
  <c r="D24" i="10"/>
  <c r="D25" i="10"/>
  <c r="D27" i="10"/>
  <c r="D35" i="10"/>
  <c r="D36" i="10"/>
  <c r="D37" i="10"/>
  <c r="D38" i="10"/>
  <c r="D39" i="10"/>
  <c r="D40" i="10"/>
  <c r="D48" i="10"/>
  <c r="D49" i="10" s="1"/>
  <c r="D50" i="10"/>
  <c r="F7" i="10"/>
  <c r="F8" i="10"/>
  <c r="F9" i="10"/>
  <c r="F10" i="10"/>
  <c r="F11" i="10"/>
  <c r="F12" i="10"/>
  <c r="F14" i="10" s="1"/>
  <c r="F21" i="10"/>
  <c r="F22" i="10"/>
  <c r="F23" i="10"/>
  <c r="F24" i="10"/>
  <c r="F25" i="10"/>
  <c r="F27" i="10"/>
  <c r="F35" i="10"/>
  <c r="F36" i="10"/>
  <c r="F37" i="10"/>
  <c r="F38" i="10"/>
  <c r="F40" i="10" s="1"/>
  <c r="F39" i="10"/>
  <c r="F48" i="10"/>
  <c r="F50" i="10"/>
  <c r="H47" i="9"/>
  <c r="F47" i="9"/>
  <c r="D47" i="9"/>
  <c r="H34" i="9"/>
  <c r="F34" i="9"/>
  <c r="D34" i="9"/>
  <c r="H21" i="9"/>
  <c r="F21" i="9"/>
  <c r="D21" i="9"/>
  <c r="H7" i="9"/>
  <c r="F7" i="9"/>
  <c r="D7" i="9"/>
  <c r="F49" i="10" l="1"/>
  <c r="F52" i="10" s="1"/>
  <c r="F54" i="10" s="1"/>
  <c r="F55" i="10" s="1"/>
  <c r="D52" i="10"/>
  <c r="D54" i="10" s="1"/>
  <c r="D55" i="10" s="1"/>
  <c r="F41" i="10"/>
  <c r="F42" i="10" s="1"/>
  <c r="D41" i="10"/>
  <c r="D42" i="10" s="1"/>
  <c r="F26" i="10"/>
  <c r="D26" i="10"/>
  <c r="F13" i="10"/>
  <c r="F15" i="10" s="1"/>
  <c r="F17" i="10" s="1"/>
  <c r="F18" i="10" s="1"/>
  <c r="F44" i="10"/>
  <c r="F45" i="10" s="1"/>
  <c r="D17" i="10"/>
  <c r="D18" i="10" s="1"/>
  <c r="F28" i="10"/>
  <c r="F29" i="10" s="1"/>
  <c r="F31" i="10" s="1"/>
  <c r="F32" i="10" s="1"/>
  <c r="D28" i="10"/>
  <c r="D29" i="10" s="1"/>
  <c r="D31" i="10" s="1"/>
  <c r="D32" i="10" s="1"/>
  <c r="H52" i="9"/>
  <c r="F52" i="9"/>
  <c r="D52" i="9"/>
  <c r="D44" i="10" l="1"/>
  <c r="D45" i="10" s="1"/>
  <c r="D56" i="10" s="1"/>
  <c r="D57" i="10" s="1"/>
  <c r="F58" i="10" s="1"/>
  <c r="F56" i="10"/>
  <c r="F57" i="10" s="1"/>
  <c r="F22" i="9"/>
  <c r="H23" i="9"/>
  <c r="F24" i="9"/>
  <c r="D25" i="9"/>
  <c r="D28" i="9" s="1"/>
  <c r="H25" i="9"/>
  <c r="F26" i="9"/>
  <c r="D22" i="9"/>
  <c r="H22" i="9"/>
  <c r="D24" i="9"/>
  <c r="H24" i="9"/>
  <c r="F25" i="9"/>
  <c r="D26" i="9"/>
  <c r="H26" i="9"/>
  <c r="F27" i="9"/>
  <c r="H28" i="9"/>
  <c r="D58" i="10" l="1"/>
  <c r="D61" i="10" s="1"/>
  <c r="F61" i="10"/>
  <c r="F59" i="10"/>
  <c r="D62" i="10"/>
  <c r="F62" i="10"/>
  <c r="F28" i="9"/>
  <c r="F29" i="9" s="1"/>
  <c r="D27" i="9"/>
  <c r="D29" i="9" s="1"/>
  <c r="H27" i="9"/>
  <c r="D59" i="10" l="1"/>
  <c r="F31" i="9"/>
  <c r="F32" i="9" s="1"/>
  <c r="H29" i="9"/>
  <c r="H31" i="9" s="1"/>
  <c r="H32" i="9" s="1"/>
  <c r="D31" i="9"/>
  <c r="D32" i="9" s="1"/>
  <c r="F39" i="9" l="1"/>
  <c r="D38" i="9"/>
  <c r="D35" i="9"/>
  <c r="H35" i="9"/>
  <c r="D37" i="9"/>
  <c r="D39" i="9"/>
  <c r="F38" i="9"/>
  <c r="H37" i="9"/>
  <c r="H39" i="9"/>
  <c r="F35" i="9"/>
  <c r="H36" i="9"/>
  <c r="F37" i="9"/>
  <c r="H38" i="9"/>
  <c r="F40" i="9" l="1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H42" i="9" l="1"/>
  <c r="D10" i="9" l="1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D16" i="9" s="1"/>
  <c r="F15" i="9"/>
  <c r="F16" i="9" s="1"/>
  <c r="F18" i="9" s="1"/>
  <c r="D18" i="9" l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s="1"/>
  <c r="D45" i="9" l="1"/>
  <c r="D57" i="9" s="1"/>
  <c r="F19" i="9"/>
  <c r="F57" i="9" s="1"/>
  <c r="D58" i="9" l="1"/>
  <c r="F58" i="9" l="1"/>
  <c r="H59" i="9" s="1"/>
  <c r="H62" i="9" s="1"/>
  <c r="H58" i="9"/>
  <c r="H60" i="9" s="1"/>
  <c r="D60" i="9" l="1"/>
</calcChain>
</file>

<file path=xl/sharedStrings.xml><?xml version="1.0" encoding="utf-8"?>
<sst xmlns="http://schemas.openxmlformats.org/spreadsheetml/2006/main" count="141" uniqueCount="52">
  <si>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</si>
  <si>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</si>
  <si>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</si>
  <si>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</si>
  <si>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</si>
  <si>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</si>
  <si>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</si>
  <si>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</si>
  <si>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</si>
  <si>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</si>
  <si>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</si>
  <si>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</si>
  <si>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</si>
  <si>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</si>
  <si>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</si>
  <si>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</si>
  <si>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</si>
  <si>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</si>
  <si>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</si>
  <si>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</si>
  <si>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</si>
  <si>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</si>
  <si>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</si>
  <si>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</si>
  <si>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</si>
  <si>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</si>
  <si>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</si>
  <si>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</si>
  <si>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</si>
  <si>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</si>
  <si>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</si>
  <si>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</si>
  <si>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</si>
  <si>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</si>
  <si>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</si>
  <si>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</si>
  <si>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</si>
  <si>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</si>
  <si>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</si>
  <si>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</si>
  <si>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</si>
  <si>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в минимальном размере для соответствующего уровня образования и продолжительности работы дошкольной группы</t>
  </si>
  <si>
    <t xml:space="preserve">2024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</si>
  <si>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лет, ед.</t>
  </si>
  <si>
    <t>Отраслевые  корректирующие коэффициенты к базовым нормативам затрат, учитывающие  отклонение средней наполняемости дошкольных групп от  расчетной, ед.</t>
  </si>
  <si>
    <t>Приложение №25</t>
  </si>
  <si>
    <t>10 часов-обучающиеся от 3 до 8 лет за исключением обучающихся с ОВЗ и детей-инвалидов</t>
  </si>
  <si>
    <t xml:space="preserve"> Затраты на оплату труда старших воспитателей</t>
  </si>
  <si>
    <t>Надбавка за интенсивность и высокие результаты работы (40 % от ФЗП по ставкам заработной платы)</t>
  </si>
  <si>
    <t>Итого затраты на оплату труда старших воспитателей: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</si>
  <si>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режим  работы дошкольной группы, ед.</t>
  </si>
  <si>
    <t xml:space="preserve">2024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</si>
</sst>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="51" zoomScaleNormal="81" zoomScaleSheetLayoutView="51" workbookViewId="0">
      <pane xSplit="2" ySplit="5" topLeftCell="C55" activePane="bottomRight" state="frozen"/>
      <selection pane="topRight" activeCell="D1" sqref="D1"/>
      <selection pane="bottomLeft" activeCell="A5" sqref="A5"/>
      <selection pane="bottomRight" activeCell="F70" sqref="F69:F70"/>
    </sheetView>
  </sheetViews>
  <sheetFormatPr defaultRowHeight="15" x14ac:dyDescent="0.25"/>
  <cols>
    <col min="1" max="1" width="6.28515625" style="2" customWidth="1"/>
    <col min="2" max="2" width="55.710937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35" t="s">
        <v>45</v>
      </c>
      <c r="H1" s="35"/>
    </row>
    <row r="2" spans="1:11" ht="77.25" customHeight="1" x14ac:dyDescent="0.3">
      <c r="A2" s="37" t="s">
        <v>42</v>
      </c>
      <c r="B2" s="37"/>
      <c r="C2" s="37"/>
      <c r="D2" s="37"/>
      <c r="E2" s="37"/>
      <c r="F2" s="37"/>
      <c r="G2" s="37"/>
      <c r="H2" s="37"/>
      <c r="I2" s="3"/>
      <c r="J2" s="3"/>
      <c r="K2" s="3"/>
    </row>
    <row r="3" spans="1:11" ht="67.5" customHeight="1" x14ac:dyDescent="0.25">
      <c r="A3" s="38" t="s">
        <v>1</v>
      </c>
      <c r="B3" s="38" t="s">
        <v>0</v>
      </c>
      <c r="C3" s="41" t="s">
        <v>29</v>
      </c>
      <c r="D3" s="42"/>
      <c r="E3" s="42"/>
      <c r="F3" s="42"/>
      <c r="G3" s="42"/>
      <c r="H3" s="42"/>
    </row>
    <row r="4" spans="1:11" s="4" customFormat="1" ht="67.5" customHeight="1" x14ac:dyDescent="0.25">
      <c r="A4" s="39"/>
      <c r="B4" s="39"/>
      <c r="C4" s="36" t="s">
        <v>30</v>
      </c>
      <c r="D4" s="36"/>
      <c r="E4" s="36" t="s">
        <v>32</v>
      </c>
      <c r="F4" s="36"/>
      <c r="G4" s="36" t="s">
        <v>31</v>
      </c>
      <c r="H4" s="36"/>
    </row>
    <row r="5" spans="1:11" ht="48.75" customHeight="1" x14ac:dyDescent="0.25">
      <c r="A5" s="40"/>
      <c r="B5" s="40"/>
      <c r="C5" s="5" t="s">
        <v>2</v>
      </c>
      <c r="D5" s="6" t="s">
        <v>35</v>
      </c>
      <c r="E5" s="5" t="s">
        <v>2</v>
      </c>
      <c r="F5" s="6" t="s">
        <v>35</v>
      </c>
      <c r="G5" s="6" t="s">
        <v>2</v>
      </c>
      <c r="H5" s="6" t="s">
        <v>35</v>
      </c>
    </row>
    <row r="6" spans="1:11" ht="31.5" customHeight="1" x14ac:dyDescent="0.25">
      <c r="A6" s="5"/>
      <c r="B6" s="33" t="s">
        <v>10</v>
      </c>
      <c r="C6" s="34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38</v>
      </c>
      <c r="C7" s="1">
        <v>2</v>
      </c>
      <c r="D7" s="1">
        <f>ROUND(13772*C7*1.055,2)</f>
        <v>29058.92</v>
      </c>
      <c r="E7" s="1">
        <v>2</v>
      </c>
      <c r="F7" s="1">
        <f>ROUND(13772*E7*1.055,2)</f>
        <v>29058.92</v>
      </c>
      <c r="G7" s="1">
        <v>2.4</v>
      </c>
      <c r="H7" s="1">
        <f>ROUND(13772*G7*1.055,2)</f>
        <v>34870.699999999997</v>
      </c>
    </row>
    <row r="8" spans="1:11" ht="37.5" customHeight="1" x14ac:dyDescent="0.25">
      <c r="A8" s="7">
        <v>2</v>
      </c>
      <c r="B8" s="8" t="s">
        <v>14</v>
      </c>
      <c r="C8" s="1"/>
      <c r="D8" s="1">
        <f>ROUND(D7*0.25,2)</f>
        <v>7264.73</v>
      </c>
      <c r="E8" s="1"/>
      <c r="F8" s="1">
        <f>ROUND(F7*0.25,2)</f>
        <v>7264.73</v>
      </c>
      <c r="G8" s="1"/>
      <c r="H8" s="1">
        <f>ROUND(H7*0.25,2)</f>
        <v>8717.68</v>
      </c>
    </row>
    <row r="9" spans="1:11" ht="39.75" customHeight="1" x14ac:dyDescent="0.25">
      <c r="A9" s="7">
        <v>3</v>
      </c>
      <c r="B9" s="8" t="s">
        <v>15</v>
      </c>
      <c r="C9" s="1"/>
      <c r="D9" s="1"/>
      <c r="E9" s="1"/>
      <c r="F9" s="1"/>
      <c r="G9" s="1"/>
      <c r="H9" s="1">
        <f>ROUND(H7*0.1,2)</f>
        <v>3487.07</v>
      </c>
    </row>
    <row r="10" spans="1:11" ht="35.25" customHeight="1" x14ac:dyDescent="0.25">
      <c r="A10" s="7">
        <v>4</v>
      </c>
      <c r="B10" s="8" t="s">
        <v>22</v>
      </c>
      <c r="C10" s="9"/>
      <c r="D10" s="1">
        <f>ROUND(D7*0.2,2)</f>
        <v>5811.78</v>
      </c>
      <c r="E10" s="9"/>
      <c r="F10" s="1">
        <f>ROUND(F7*0.2,2)</f>
        <v>5811.78</v>
      </c>
      <c r="G10" s="9"/>
      <c r="H10" s="1">
        <f>ROUND(H7*0.2,2)</f>
        <v>6974.14</v>
      </c>
    </row>
    <row r="11" spans="1:11" ht="46.5" customHeight="1" x14ac:dyDescent="0.25">
      <c r="A11" s="7">
        <v>5</v>
      </c>
      <c r="B11" s="8" t="s">
        <v>16</v>
      </c>
      <c r="C11" s="1"/>
      <c r="D11" s="1">
        <f>ROUND((D7)*0.05,2)</f>
        <v>1452.95</v>
      </c>
      <c r="E11" s="1"/>
      <c r="F11" s="1">
        <f t="shared" ref="F11:H11" si="0">ROUND((F7)*0.05,2)</f>
        <v>1452.95</v>
      </c>
      <c r="G11" s="1"/>
      <c r="H11" s="1">
        <f t="shared" si="0"/>
        <v>1743.54</v>
      </c>
    </row>
    <row r="12" spans="1:11" ht="50.25" customHeight="1" x14ac:dyDescent="0.25">
      <c r="A12" s="7">
        <v>6</v>
      </c>
      <c r="B12" s="8" t="s">
        <v>12</v>
      </c>
      <c r="C12" s="1"/>
      <c r="D12" s="1">
        <f>ROUND(D7*0.6,2)</f>
        <v>17435.349999999999</v>
      </c>
      <c r="E12" s="1"/>
      <c r="F12" s="1">
        <f>ROUND(F7*0.6,2)</f>
        <v>17435.349999999999</v>
      </c>
      <c r="G12" s="1"/>
      <c r="H12" s="1">
        <f>ROUND(H7*0.6,2)</f>
        <v>20922.419999999998</v>
      </c>
    </row>
    <row r="13" spans="1:11" ht="49.5" customHeight="1" x14ac:dyDescent="0.25">
      <c r="A13" s="7">
        <v>7</v>
      </c>
      <c r="B13" s="8" t="s">
        <v>18</v>
      </c>
      <c r="C13" s="1"/>
      <c r="D13" s="1">
        <f>ROUND((D7+D8+D9+D10+D11)*0.05,2)</f>
        <v>2179.42</v>
      </c>
      <c r="E13" s="1"/>
      <c r="F13" s="1">
        <f t="shared" ref="F13:H13" si="1">ROUND((F7+F8+F9+F10+F11)*0.05,2)</f>
        <v>2179.42</v>
      </c>
      <c r="G13" s="1"/>
      <c r="H13" s="1">
        <f t="shared" si="1"/>
        <v>2789.66</v>
      </c>
    </row>
    <row r="14" spans="1:11" ht="51.75" customHeight="1" x14ac:dyDescent="0.25">
      <c r="A14" s="7">
        <v>8</v>
      </c>
      <c r="B14" s="8" t="s">
        <v>19</v>
      </c>
      <c r="C14" s="7"/>
      <c r="D14" s="7">
        <f>ROUND((D7+D8+D9+D10+D11)*0.01,2)</f>
        <v>435.88</v>
      </c>
      <c r="E14" s="7"/>
      <c r="F14" s="7">
        <f t="shared" ref="F14:H14" si="2">ROUND((F7+F8+F9+F10+F11)*0.01,2)</f>
        <v>435.88</v>
      </c>
      <c r="G14" s="7"/>
      <c r="H14" s="7">
        <f t="shared" si="2"/>
        <v>557.92999999999995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7549.86</v>
      </c>
      <c r="E15" s="1"/>
      <c r="F15" s="1">
        <f>ROUND((F7+F8+F9+F10+F11+F12+F13)/29.3*42/12,2)</f>
        <v>7549.86</v>
      </c>
      <c r="G15" s="1"/>
      <c r="H15" s="1">
        <f>ROUND((H7+H8+H9+H10+H11+H12+H13)/29.3*56/12,2)</f>
        <v>12662.95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21499.040000000001</v>
      </c>
      <c r="E16" s="11"/>
      <c r="F16" s="11">
        <f>ROUND((F7+F8+F9+F10+F11+F12+F13+F14+F15)*0.302,2)</f>
        <v>21499.040000000001</v>
      </c>
      <c r="G16" s="11"/>
      <c r="H16" s="11">
        <f>ROUND((H7+H8+H9+H10+H11+H12+H13+H14+H15)*0.302,2)</f>
        <v>28003.279999999999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92687.929999999978</v>
      </c>
      <c r="E18" s="1"/>
      <c r="F18" s="1">
        <f>F7+F8+F9+F10+F11+F12+F13+F14+F16+F15</f>
        <v>92687.929999999978</v>
      </c>
      <c r="G18" s="1"/>
      <c r="H18" s="1">
        <f>H7+H8+H9+H10+H11+H12+H13+H14+H16+H15</f>
        <v>120729.36999999998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1112255.1599999999</v>
      </c>
      <c r="E19" s="1"/>
      <c r="F19" s="1">
        <f t="shared" si="3"/>
        <v>1112255.1599999999</v>
      </c>
      <c r="G19" s="1"/>
      <c r="H19" s="1">
        <f t="shared" si="3"/>
        <v>1448752.44</v>
      </c>
    </row>
    <row r="20" spans="1:8" ht="41.25" customHeight="1" x14ac:dyDescent="0.25">
      <c r="A20" s="10"/>
      <c r="B20" s="23" t="s">
        <v>39</v>
      </c>
      <c r="C20" s="24"/>
      <c r="D20" s="1"/>
      <c r="E20" s="1"/>
      <c r="F20" s="1"/>
      <c r="G20" s="1"/>
      <c r="H20" s="1"/>
    </row>
    <row r="21" spans="1:8" ht="64.5" customHeight="1" x14ac:dyDescent="0.25">
      <c r="A21" s="7">
        <v>1</v>
      </c>
      <c r="B21" s="8" t="s">
        <v>38</v>
      </c>
      <c r="C21" s="1"/>
      <c r="D21" s="1">
        <f>ROUND(14449*C21*1.055,2)</f>
        <v>0</v>
      </c>
      <c r="E21" s="1"/>
      <c r="F21" s="1">
        <f>ROUND(14449*E21*1.055,2)</f>
        <v>0</v>
      </c>
      <c r="G21" s="1">
        <v>1</v>
      </c>
      <c r="H21" s="1">
        <f>ROUND(14449*G21*1.055,2)</f>
        <v>15243.7</v>
      </c>
    </row>
    <row r="22" spans="1:8" ht="41.25" customHeight="1" x14ac:dyDescent="0.25">
      <c r="A22" s="7">
        <v>2</v>
      </c>
      <c r="B22" s="8" t="s">
        <v>14</v>
      </c>
      <c r="C22" s="1"/>
      <c r="D22" s="1">
        <f>ROUND(D21*0.25,2)</f>
        <v>0</v>
      </c>
      <c r="E22" s="1"/>
      <c r="F22" s="1">
        <f>ROUND(F21*0.25,2)</f>
        <v>0</v>
      </c>
      <c r="G22" s="1"/>
      <c r="H22" s="1">
        <f>ROUND(H21*0.25,2)</f>
        <v>3810.93</v>
      </c>
    </row>
    <row r="23" spans="1:8" ht="31.5" customHeight="1" x14ac:dyDescent="0.25">
      <c r="A23" s="7">
        <v>3</v>
      </c>
      <c r="B23" s="8" t="s">
        <v>15</v>
      </c>
      <c r="C23" s="1"/>
      <c r="D23" s="1"/>
      <c r="E23" s="1"/>
      <c r="F23" s="1"/>
      <c r="G23" s="1"/>
      <c r="H23" s="1">
        <f>ROUND(H21*0.1,2)</f>
        <v>1524.37</v>
      </c>
    </row>
    <row r="24" spans="1:8" ht="36" customHeight="1" x14ac:dyDescent="0.25">
      <c r="A24" s="7">
        <v>4</v>
      </c>
      <c r="B24" s="8" t="s">
        <v>22</v>
      </c>
      <c r="C24" s="9"/>
      <c r="D24" s="1">
        <f>ROUND(D21*0.2,2)</f>
        <v>0</v>
      </c>
      <c r="E24" s="9"/>
      <c r="F24" s="1">
        <f>ROUND(F21*0.2,2)</f>
        <v>0</v>
      </c>
      <c r="G24" s="9"/>
      <c r="H24" s="1">
        <f>ROUND(H21*0.2,2)</f>
        <v>3048.74</v>
      </c>
    </row>
    <row r="25" spans="1:8" ht="51" customHeight="1" x14ac:dyDescent="0.25">
      <c r="A25" s="7">
        <v>5</v>
      </c>
      <c r="B25" s="8" t="s">
        <v>16</v>
      </c>
      <c r="C25" s="1"/>
      <c r="D25" s="1">
        <f>ROUND((D21)*0.05,2)</f>
        <v>0</v>
      </c>
      <c r="E25" s="1"/>
      <c r="F25" s="1">
        <f t="shared" ref="F25" si="4">ROUND((F21)*0.05,2)</f>
        <v>0</v>
      </c>
      <c r="G25" s="1"/>
      <c r="H25" s="1">
        <f t="shared" ref="H25" si="5">ROUND((H21)*0.05,2)</f>
        <v>762.19</v>
      </c>
    </row>
    <row r="26" spans="1:8" ht="46.5" customHeight="1" x14ac:dyDescent="0.25">
      <c r="A26" s="7">
        <v>6</v>
      </c>
      <c r="B26" s="8" t="s">
        <v>12</v>
      </c>
      <c r="C26" s="1"/>
      <c r="D26" s="1">
        <f>ROUND(D21*0.6,2)</f>
        <v>0</v>
      </c>
      <c r="E26" s="1"/>
      <c r="F26" s="1">
        <f>ROUND(F21*0.6,2)</f>
        <v>0</v>
      </c>
      <c r="G26" s="1"/>
      <c r="H26" s="1">
        <f>ROUND(H21*0.6,2)</f>
        <v>9146.2199999999993</v>
      </c>
    </row>
    <row r="27" spans="1:8" ht="51" customHeight="1" x14ac:dyDescent="0.25">
      <c r="A27" s="7">
        <v>7</v>
      </c>
      <c r="B27" s="8" t="s">
        <v>18</v>
      </c>
      <c r="C27" s="1"/>
      <c r="D27" s="1">
        <f>ROUND((D21+D22+D23+D24+D25)*0.05,2)</f>
        <v>0</v>
      </c>
      <c r="E27" s="1"/>
      <c r="F27" s="1">
        <f t="shared" ref="F27" si="6">ROUND((F21+F22+F23+F24+F25)*0.05,2)</f>
        <v>0</v>
      </c>
      <c r="G27" s="1"/>
      <c r="H27" s="1">
        <f t="shared" ref="H27" si="7">ROUND((H21+H22+H23+H24+H25)*0.05,2)</f>
        <v>1219.5</v>
      </c>
    </row>
    <row r="28" spans="1:8" ht="46.5" customHeight="1" x14ac:dyDescent="0.25">
      <c r="A28" s="7">
        <v>8</v>
      </c>
      <c r="B28" s="8" t="s">
        <v>19</v>
      </c>
      <c r="C28" s="7"/>
      <c r="D28" s="7">
        <f>ROUND((D21+D22+D23+D24+D25)*0.01,2)</f>
        <v>0</v>
      </c>
      <c r="E28" s="7"/>
      <c r="F28" s="7">
        <f t="shared" ref="F28" si="8">ROUND((F21+F22+F23+F24+F25)*0.01,2)</f>
        <v>0</v>
      </c>
      <c r="G28" s="7"/>
      <c r="H28" s="7">
        <f t="shared" ref="H28" si="9">ROUND((H21+H22+H23+H24+H25)*0.01,2)</f>
        <v>243.9</v>
      </c>
    </row>
    <row r="29" spans="1:8" ht="21.75" customHeight="1" x14ac:dyDescent="0.25">
      <c r="A29" s="7">
        <v>9</v>
      </c>
      <c r="B29" s="8" t="s">
        <v>3</v>
      </c>
      <c r="C29" s="11"/>
      <c r="D29" s="11">
        <f>ROUND((D21+D22+D23+D24+D25+D26+D27+D28)*0.302,2)</f>
        <v>0</v>
      </c>
      <c r="E29" s="11"/>
      <c r="F29" s="11">
        <f>ROUND((F21+F22+F23+F24+F25+F26+F27+F28)*0.302,2)</f>
        <v>0</v>
      </c>
      <c r="G29" s="11"/>
      <c r="H29" s="11">
        <f>ROUND((H21+H22+H23+H24+H25+H26+H27+H28)*0.302,2)</f>
        <v>10569.86</v>
      </c>
    </row>
    <row r="30" spans="1:8" ht="21.75" customHeight="1" x14ac:dyDescent="0.25">
      <c r="A30" s="7">
        <v>10</v>
      </c>
      <c r="B30" s="8" t="s">
        <v>6</v>
      </c>
      <c r="C30" s="1"/>
      <c r="D30" s="1"/>
      <c r="E30" s="1"/>
      <c r="F30" s="1"/>
      <c r="G30" s="1"/>
      <c r="H30" s="1"/>
    </row>
    <row r="31" spans="1:8" ht="21.75" customHeight="1" x14ac:dyDescent="0.25">
      <c r="A31" s="10"/>
      <c r="B31" s="12" t="s">
        <v>4</v>
      </c>
      <c r="C31" s="1"/>
      <c r="D31" s="1">
        <f>D21+D22+D23+D24+D25+D26+D27+D28+D29</f>
        <v>0</v>
      </c>
      <c r="E31" s="1"/>
      <c r="F31" s="1">
        <f>F21+F22+F23+F24+F25+F26+F27+F28+F29</f>
        <v>0</v>
      </c>
      <c r="G31" s="1"/>
      <c r="H31" s="1">
        <f>H21+H22+H23+H24+H25+H26+H27+H28+H29</f>
        <v>45569.409999999996</v>
      </c>
    </row>
    <row r="32" spans="1:8" ht="21.75" customHeight="1" x14ac:dyDescent="0.25">
      <c r="A32" s="10"/>
      <c r="B32" s="12" t="s">
        <v>5</v>
      </c>
      <c r="C32" s="1"/>
      <c r="D32" s="1">
        <f t="shared" ref="D32" si="10">ROUND(D31*12,2)</f>
        <v>0</v>
      </c>
      <c r="E32" s="1"/>
      <c r="F32" s="1">
        <f t="shared" ref="F32" si="11">ROUND(F31*12,2)</f>
        <v>0</v>
      </c>
      <c r="G32" s="1"/>
      <c r="H32" s="1">
        <f t="shared" ref="H32" si="12">ROUND(H31*12,2)</f>
        <v>546832.92000000004</v>
      </c>
    </row>
    <row r="33" spans="1:8" ht="27.75" customHeight="1" x14ac:dyDescent="0.25">
      <c r="A33" s="10"/>
      <c r="B33" s="33" t="s">
        <v>13</v>
      </c>
      <c r="C33" s="34"/>
      <c r="D33" s="13"/>
      <c r="E33" s="10"/>
      <c r="F33" s="13"/>
      <c r="G33" s="10"/>
      <c r="H33" s="13"/>
    </row>
    <row r="34" spans="1:8" ht="70.5" customHeight="1" x14ac:dyDescent="0.25">
      <c r="A34" s="7">
        <v>1</v>
      </c>
      <c r="B34" s="8" t="s">
        <v>38</v>
      </c>
      <c r="C34" s="7">
        <v>0.25</v>
      </c>
      <c r="D34" s="1">
        <f>ROUND(12523*1.055*C34,2)</f>
        <v>3302.94</v>
      </c>
      <c r="E34" s="7">
        <v>0.25</v>
      </c>
      <c r="F34" s="1">
        <f>ROUND(12523*1.055*E34,2)</f>
        <v>3302.94</v>
      </c>
      <c r="G34" s="7">
        <v>0.25</v>
      </c>
      <c r="H34" s="1">
        <f>ROUND(12523*1.055*G34,2)</f>
        <v>3302.94</v>
      </c>
    </row>
    <row r="35" spans="1:8" ht="33.75" customHeight="1" x14ac:dyDescent="0.25">
      <c r="A35" s="7">
        <v>2</v>
      </c>
      <c r="B35" s="8" t="s">
        <v>14</v>
      </c>
      <c r="C35" s="10"/>
      <c r="D35" s="1">
        <f>ROUND(D34*0.25,2)</f>
        <v>825.74</v>
      </c>
      <c r="E35" s="10"/>
      <c r="F35" s="1">
        <f>ROUND(F34*0.25,2)</f>
        <v>825.74</v>
      </c>
      <c r="G35" s="10"/>
      <c r="H35" s="1">
        <f>ROUND(H34*0.25,2)</f>
        <v>825.74</v>
      </c>
    </row>
    <row r="36" spans="1:8" ht="33" customHeight="1" x14ac:dyDescent="0.25">
      <c r="A36" s="7">
        <v>3</v>
      </c>
      <c r="B36" s="8" t="s">
        <v>15</v>
      </c>
      <c r="C36" s="10"/>
      <c r="D36" s="1"/>
      <c r="E36" s="10"/>
      <c r="F36" s="1"/>
      <c r="G36" s="10"/>
      <c r="H36" s="1">
        <f>ROUND(H34*0.1,2)</f>
        <v>330.29</v>
      </c>
    </row>
    <row r="37" spans="1:8" ht="33" customHeight="1" x14ac:dyDescent="0.25">
      <c r="A37" s="7">
        <v>4</v>
      </c>
      <c r="B37" s="8" t="s">
        <v>22</v>
      </c>
      <c r="C37" s="10"/>
      <c r="D37" s="1">
        <f>ROUND(D34*0.2,2)</f>
        <v>660.59</v>
      </c>
      <c r="E37" s="10"/>
      <c r="F37" s="1">
        <f>ROUND(F34*0.2,2)</f>
        <v>660.59</v>
      </c>
      <c r="G37" s="10"/>
      <c r="H37" s="1">
        <f>ROUND(H34*0.2,2)</f>
        <v>660.59</v>
      </c>
    </row>
    <row r="38" spans="1:8" ht="45.75" customHeight="1" x14ac:dyDescent="0.25">
      <c r="A38" s="7">
        <v>5</v>
      </c>
      <c r="B38" s="8" t="s">
        <v>16</v>
      </c>
      <c r="C38" s="1"/>
      <c r="D38" s="1">
        <f>ROUND((D34)*0.05,2)</f>
        <v>165.15</v>
      </c>
      <c r="E38" s="1"/>
      <c r="F38" s="1">
        <f>ROUND((F34)*0.05,2)</f>
        <v>165.15</v>
      </c>
      <c r="G38" s="1"/>
      <c r="H38" s="1">
        <f>ROUND((H34)*0.05,2)</f>
        <v>165.15</v>
      </c>
    </row>
    <row r="39" spans="1:8" ht="42" customHeight="1" x14ac:dyDescent="0.25">
      <c r="A39" s="7">
        <v>6</v>
      </c>
      <c r="B39" s="8" t="s">
        <v>12</v>
      </c>
      <c r="C39" s="1"/>
      <c r="D39" s="1">
        <f>ROUND(D34*0.6,2)</f>
        <v>1981.76</v>
      </c>
      <c r="E39" s="1"/>
      <c r="F39" s="1">
        <f>ROUND(F34*0.6,2)</f>
        <v>1981.76</v>
      </c>
      <c r="G39" s="1"/>
      <c r="H39" s="1">
        <f>ROUND(H34*0.6,2)</f>
        <v>1981.76</v>
      </c>
    </row>
    <row r="40" spans="1:8" ht="56.25" customHeight="1" x14ac:dyDescent="0.25">
      <c r="A40" s="7">
        <v>7</v>
      </c>
      <c r="B40" s="8" t="s">
        <v>18</v>
      </c>
      <c r="C40" s="1"/>
      <c r="D40" s="1">
        <f>ROUND((D34+D35+D36+D37+D38)*0.05,2)</f>
        <v>247.72</v>
      </c>
      <c r="E40" s="1"/>
      <c r="F40" s="1">
        <f t="shared" ref="F40:H40" si="13">ROUND((F34+F35+F36+F37+F38)*0.05,2)</f>
        <v>247.72</v>
      </c>
      <c r="G40" s="1"/>
      <c r="H40" s="1">
        <f t="shared" si="13"/>
        <v>264.24</v>
      </c>
    </row>
    <row r="41" spans="1:8" ht="55.5" customHeight="1" x14ac:dyDescent="0.25">
      <c r="A41" s="7">
        <v>8</v>
      </c>
      <c r="B41" s="8" t="s">
        <v>19</v>
      </c>
      <c r="C41" s="7"/>
      <c r="D41" s="7">
        <f>ROUND((D34+D35+D36+D37+D38)*0.01,2)</f>
        <v>49.54</v>
      </c>
      <c r="E41" s="7"/>
      <c r="F41" s="7">
        <f>ROUND((F34+F35+F36+F37+F38)*0.01,2)</f>
        <v>49.54</v>
      </c>
      <c r="G41" s="7"/>
      <c r="H41" s="7">
        <f t="shared" ref="H41" si="14">ROUND((H34+H35+H36+H37+H38)*0.01,2)</f>
        <v>52.85</v>
      </c>
    </row>
    <row r="42" spans="1:8" ht="21.75" customHeight="1" x14ac:dyDescent="0.25">
      <c r="A42" s="7">
        <v>9</v>
      </c>
      <c r="B42" s="8" t="s">
        <v>3</v>
      </c>
      <c r="C42" s="1"/>
      <c r="D42" s="11">
        <f>ROUND((D34+D35+D36+D37+D38+D39+D40+D41)*0.302,2)</f>
        <v>2184.5</v>
      </c>
      <c r="E42" s="11"/>
      <c r="F42" s="11">
        <f t="shared" ref="F42:H42" si="15">ROUND((F34+F35+F36+F37+F38+F39+F40+F41)*0.302,2)</f>
        <v>2184.5</v>
      </c>
      <c r="G42" s="11"/>
      <c r="H42" s="11">
        <f t="shared" si="15"/>
        <v>2290.2399999999998</v>
      </c>
    </row>
    <row r="43" spans="1:8" ht="41.25" customHeight="1" x14ac:dyDescent="0.25">
      <c r="A43" s="7">
        <v>10</v>
      </c>
      <c r="B43" s="8" t="s">
        <v>7</v>
      </c>
      <c r="C43" s="1"/>
      <c r="D43" s="11"/>
      <c r="E43" s="11"/>
      <c r="F43" s="11"/>
      <c r="G43" s="11"/>
      <c r="H43" s="11"/>
    </row>
    <row r="44" spans="1:8" ht="15.75" x14ac:dyDescent="0.25">
      <c r="A44" s="10"/>
      <c r="B44" s="12" t="s">
        <v>4</v>
      </c>
      <c r="C44" s="1"/>
      <c r="D44" s="1">
        <f>D34+D35+D36+D37+D38+D39+D40+D41+D43</f>
        <v>7233.4400000000005</v>
      </c>
      <c r="E44" s="1"/>
      <c r="F44" s="1">
        <f t="shared" ref="F44:H44" si="16">F34+F35+F36+F37+F38+F39+F40+F41+F43</f>
        <v>7233.4400000000005</v>
      </c>
      <c r="G44" s="1"/>
      <c r="H44" s="1">
        <f t="shared" si="16"/>
        <v>7583.56</v>
      </c>
    </row>
    <row r="45" spans="1:8" ht="15.75" x14ac:dyDescent="0.25">
      <c r="A45" s="10"/>
      <c r="B45" s="12" t="s">
        <v>5</v>
      </c>
      <c r="C45" s="1"/>
      <c r="D45" s="1">
        <f t="shared" ref="D45" si="17">ROUND(D44*12,2)</f>
        <v>86801.279999999999</v>
      </c>
      <c r="E45" s="1"/>
      <c r="F45" s="1">
        <f t="shared" ref="F45:H45" si="18">ROUND(F44*12,2)</f>
        <v>86801.279999999999</v>
      </c>
      <c r="G45" s="1"/>
      <c r="H45" s="1">
        <f t="shared" si="18"/>
        <v>91002.72</v>
      </c>
    </row>
    <row r="46" spans="1:8" ht="30.75" customHeight="1" x14ac:dyDescent="0.25">
      <c r="A46" s="10"/>
      <c r="B46" s="33" t="s">
        <v>17</v>
      </c>
      <c r="C46" s="34"/>
      <c r="D46" s="1"/>
      <c r="E46" s="1"/>
      <c r="F46" s="1"/>
      <c r="G46" s="1"/>
      <c r="H46" s="1"/>
    </row>
    <row r="47" spans="1:8" ht="63.75" customHeight="1" x14ac:dyDescent="0.25">
      <c r="A47" s="7">
        <v>1</v>
      </c>
      <c r="B47" s="8" t="s">
        <v>40</v>
      </c>
      <c r="C47" s="7">
        <v>1.5</v>
      </c>
      <c r="D47" s="1">
        <f>ROUND(8707*1.055*C47,2)</f>
        <v>13778.83</v>
      </c>
      <c r="E47" s="7">
        <v>1.25</v>
      </c>
      <c r="F47" s="1">
        <f>ROUND(8707*1.055*E47,2)</f>
        <v>11482.36</v>
      </c>
      <c r="G47" s="7">
        <v>1.25</v>
      </c>
      <c r="H47" s="1">
        <f>ROUND(8707*1.055*G47,2)</f>
        <v>11482.36</v>
      </c>
    </row>
    <row r="48" spans="1:8" ht="36" customHeight="1" x14ac:dyDescent="0.25">
      <c r="A48" s="7">
        <v>2</v>
      </c>
      <c r="B48" s="8" t="s">
        <v>11</v>
      </c>
      <c r="C48" s="7"/>
      <c r="D48" s="1"/>
      <c r="E48" s="7"/>
      <c r="F48" s="1"/>
      <c r="G48" s="7"/>
      <c r="H48" s="1">
        <f>ROUND(H47*0.1,2)</f>
        <v>1148.24</v>
      </c>
    </row>
    <row r="49" spans="1:10" ht="40.5" customHeight="1" x14ac:dyDescent="0.25">
      <c r="A49" s="7">
        <v>3</v>
      </c>
      <c r="B49" s="8" t="s">
        <v>23</v>
      </c>
      <c r="C49" s="10"/>
      <c r="D49" s="1">
        <f>ROUND(D47*0.3,0)</f>
        <v>4134</v>
      </c>
      <c r="E49" s="10"/>
      <c r="F49" s="1">
        <f>ROUND(F47*0.3,0)</f>
        <v>3445</v>
      </c>
      <c r="G49" s="10"/>
      <c r="H49" s="1">
        <f>ROUND(H47*0.3,0)</f>
        <v>3445</v>
      </c>
    </row>
    <row r="50" spans="1:10" ht="30.75" customHeight="1" x14ac:dyDescent="0.25">
      <c r="A50" s="7">
        <v>4</v>
      </c>
      <c r="B50" s="8" t="s">
        <v>20</v>
      </c>
      <c r="C50" s="1"/>
      <c r="D50" s="1">
        <f>ROUND((D47+D48+D49)*0.01,2)</f>
        <v>179.13</v>
      </c>
      <c r="E50" s="1"/>
      <c r="F50" s="1">
        <f>ROUND((F47+F48+F49)*0.01,2)</f>
        <v>149.27000000000001</v>
      </c>
      <c r="G50" s="1"/>
      <c r="H50" s="1">
        <f>ROUND((H47+H48+H49)*0.01,2)</f>
        <v>160.76</v>
      </c>
    </row>
    <row r="51" spans="1:10" ht="18" customHeight="1" x14ac:dyDescent="0.25">
      <c r="A51" s="7">
        <v>5</v>
      </c>
      <c r="B51" s="10" t="s">
        <v>21</v>
      </c>
      <c r="C51" s="1"/>
      <c r="D51" s="1">
        <f>ROUND((16242*C47-D47-D48-D49),2)</f>
        <v>6450.17</v>
      </c>
      <c r="E51" s="1"/>
      <c r="F51" s="1">
        <f>ROUND((16242*E47-F47-F48-F49),2)</f>
        <v>5375.14</v>
      </c>
      <c r="G51" s="1"/>
      <c r="H51" s="1">
        <f>ROUND((16242*G47-H47-H48-H49),2)</f>
        <v>4226.8999999999996</v>
      </c>
    </row>
    <row r="52" spans="1:10" ht="20.25" customHeight="1" x14ac:dyDescent="0.25">
      <c r="A52" s="7">
        <v>6</v>
      </c>
      <c r="B52" s="10" t="s">
        <v>9</v>
      </c>
      <c r="C52" s="1"/>
      <c r="D52" s="1">
        <f>ROUND(16242/29.3*28*C47/365*28,2)</f>
        <v>1786.02</v>
      </c>
      <c r="E52" s="1"/>
      <c r="F52" s="1">
        <f>ROUND(16242/29.3*28*E47/365*28,2)</f>
        <v>1488.35</v>
      </c>
      <c r="G52" s="1"/>
      <c r="H52" s="1">
        <f>ROUND(16242/29.3*28*G47/365*28,2)</f>
        <v>1488.35</v>
      </c>
    </row>
    <row r="53" spans="1:10" ht="17.25" customHeight="1" x14ac:dyDescent="0.25">
      <c r="A53" s="7">
        <v>7</v>
      </c>
      <c r="B53" s="8" t="s">
        <v>3</v>
      </c>
      <c r="C53" s="1"/>
      <c r="D53" s="1">
        <f>ROUND((D47+D48+D49+D50+D51+D52)*0.302,0)</f>
        <v>7951</v>
      </c>
      <c r="E53" s="1"/>
      <c r="F53" s="1">
        <f t="shared" ref="F53:H53" si="19">ROUND((F47+F48+F49+F50+F51+F52)*0.302,0)</f>
        <v>6626</v>
      </c>
      <c r="G53" s="1"/>
      <c r="H53" s="1">
        <f t="shared" si="19"/>
        <v>6629</v>
      </c>
    </row>
    <row r="54" spans="1:10" ht="15.75" x14ac:dyDescent="0.25">
      <c r="A54" s="7">
        <v>8</v>
      </c>
      <c r="B54" s="8" t="s">
        <v>8</v>
      </c>
      <c r="C54" s="1"/>
      <c r="D54" s="1"/>
      <c r="E54" s="1"/>
      <c r="F54" s="1"/>
      <c r="G54" s="1"/>
      <c r="H54" s="1"/>
    </row>
    <row r="55" spans="1:10" ht="15.75" x14ac:dyDescent="0.25">
      <c r="A55" s="10"/>
      <c r="B55" s="12" t="s">
        <v>4</v>
      </c>
      <c r="C55" s="1"/>
      <c r="D55" s="1">
        <f>D47+D48+D49+D50+D53+D51+D52</f>
        <v>34279.15</v>
      </c>
      <c r="E55" s="1"/>
      <c r="F55" s="1">
        <f>F47+F48+F49+F50+F53+F51+F52</f>
        <v>28566.12</v>
      </c>
      <c r="G55" s="1"/>
      <c r="H55" s="1">
        <f>H47+H48+H49+H50+H53+H51+H52</f>
        <v>28580.61</v>
      </c>
    </row>
    <row r="56" spans="1:10" ht="15.75" x14ac:dyDescent="0.25">
      <c r="A56" s="10"/>
      <c r="B56" s="12" t="s">
        <v>5</v>
      </c>
      <c r="C56" s="10"/>
      <c r="D56" s="1">
        <f>ROUND(D55*12,0)</f>
        <v>411350</v>
      </c>
      <c r="E56" s="10"/>
      <c r="F56" s="1">
        <f>ROUND(F55*12,0)</f>
        <v>342793</v>
      </c>
      <c r="G56" s="10"/>
      <c r="H56" s="1">
        <f>ROUND(H55*12,0)</f>
        <v>342967</v>
      </c>
    </row>
    <row r="57" spans="1:10" ht="48.75" customHeight="1" x14ac:dyDescent="0.25">
      <c r="A57" s="10"/>
      <c r="B57" s="14" t="s">
        <v>24</v>
      </c>
      <c r="C57" s="13"/>
      <c r="D57" s="1">
        <f>D19+D45+D56+D32</f>
        <v>1610406.44</v>
      </c>
      <c r="E57" s="13"/>
      <c r="F57" s="1">
        <f>F19+F45+F56+F32</f>
        <v>1541849.44</v>
      </c>
      <c r="G57" s="13"/>
      <c r="H57" s="1">
        <f>H19+H45+H56+H32</f>
        <v>2429555.08</v>
      </c>
    </row>
    <row r="58" spans="1:10" ht="48.75" customHeight="1" x14ac:dyDescent="0.25">
      <c r="A58" s="10"/>
      <c r="B58" s="14" t="s">
        <v>33</v>
      </c>
      <c r="C58" s="15">
        <v>15</v>
      </c>
      <c r="D58" s="9">
        <f>ROUND(D57/C58,0)</f>
        <v>107360</v>
      </c>
      <c r="E58" s="15">
        <v>20</v>
      </c>
      <c r="F58" s="9">
        <f>ROUND(F57/E58,0)</f>
        <v>77092</v>
      </c>
      <c r="G58" s="15">
        <v>10</v>
      </c>
      <c r="H58" s="9">
        <f>ROUND(H57/G58,0)</f>
        <v>242956</v>
      </c>
      <c r="I58" s="16"/>
      <c r="J58" s="17"/>
    </row>
    <row r="59" spans="1:10" ht="95.25" customHeight="1" x14ac:dyDescent="0.25">
      <c r="A59" s="10"/>
      <c r="B59" s="14" t="s">
        <v>36</v>
      </c>
      <c r="C59" s="10"/>
      <c r="D59" s="9">
        <v>77092</v>
      </c>
      <c r="E59" s="10"/>
      <c r="F59" s="9">
        <v>77092</v>
      </c>
      <c r="G59" s="10"/>
      <c r="H59" s="9">
        <f>F58</f>
        <v>77092</v>
      </c>
    </row>
    <row r="60" spans="1:10" ht="119.25" hidden="1" customHeight="1" x14ac:dyDescent="0.25">
      <c r="A60" s="10"/>
      <c r="B60" s="18" t="s">
        <v>26</v>
      </c>
      <c r="C60" s="7"/>
      <c r="D60" s="7">
        <f>ROUND(D58/F59,3)</f>
        <v>1.393</v>
      </c>
      <c r="E60" s="7"/>
      <c r="F60" s="7"/>
      <c r="G60" s="7"/>
      <c r="H60" s="7">
        <f>ROUND(H58/F59,3)</f>
        <v>3.1520000000000001</v>
      </c>
    </row>
    <row r="61" spans="1:10" ht="270.75" customHeight="1" x14ac:dyDescent="0.25">
      <c r="A61" s="10"/>
      <c r="B61" s="25" t="s">
        <v>41</v>
      </c>
      <c r="C61" s="10"/>
      <c r="D61" s="9">
        <v>5063</v>
      </c>
      <c r="E61" s="9"/>
      <c r="F61" s="9">
        <v>5063</v>
      </c>
      <c r="G61" s="9"/>
      <c r="H61" s="9">
        <v>5063</v>
      </c>
    </row>
    <row r="62" spans="1:10" ht="50.25" customHeight="1" x14ac:dyDescent="0.25">
      <c r="A62" s="10"/>
      <c r="B62" s="14" t="s">
        <v>37</v>
      </c>
      <c r="C62" s="10"/>
      <c r="D62" s="9">
        <f>D59+D61</f>
        <v>82155</v>
      </c>
      <c r="E62" s="9"/>
      <c r="F62" s="9">
        <f>F59+F61</f>
        <v>82155</v>
      </c>
      <c r="G62" s="9"/>
      <c r="H62" s="9">
        <f>H59+H61</f>
        <v>82155</v>
      </c>
    </row>
    <row r="63" spans="1:10" ht="129" customHeight="1" x14ac:dyDescent="0.25">
      <c r="A63" s="32"/>
      <c r="B63" s="28" t="s">
        <v>43</v>
      </c>
      <c r="C63" s="29"/>
      <c r="D63" s="30">
        <f>ROUND(D58/H59,3)</f>
        <v>1.393</v>
      </c>
      <c r="E63" s="31"/>
      <c r="F63" s="30">
        <v>1</v>
      </c>
      <c r="G63" s="31"/>
      <c r="H63" s="31">
        <f>ROUND(H58/H59,3)</f>
        <v>3.1520000000000001</v>
      </c>
    </row>
    <row r="64" spans="1:10" ht="63" x14ac:dyDescent="0.25">
      <c r="A64" s="32"/>
      <c r="B64" s="28" t="s">
        <v>44</v>
      </c>
      <c r="C64" s="29"/>
      <c r="D64" s="30">
        <v>1.3640000000000001</v>
      </c>
      <c r="E64" s="32"/>
      <c r="F64" s="30">
        <v>1</v>
      </c>
      <c r="G64" s="32"/>
      <c r="H64" s="30">
        <v>1</v>
      </c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69" zoomScaleNormal="81" zoomScaleSheetLayoutView="69" workbookViewId="0">
      <pane xSplit="2" ySplit="4" topLeftCell="C53" activePane="bottomRight" state="frozen"/>
      <selection pane="topRight" activeCell="D1" sqref="D1"/>
      <selection pane="bottomLeft" activeCell="A5" sqref="A5"/>
      <selection pane="bottomRight" activeCell="F61" sqref="F61"/>
    </sheetView>
  </sheetViews>
  <sheetFormatPr defaultRowHeight="15" x14ac:dyDescent="0.25"/>
  <cols>
    <col min="1" max="1" width="6.28515625" style="2" customWidth="1"/>
    <col min="2" max="2" width="75.42578125" style="2" customWidth="1"/>
    <col min="3" max="3" width="15.140625" style="2" customWidth="1"/>
    <col min="4" max="4" width="26.5703125" style="2" customWidth="1"/>
    <col min="5" max="5" width="22.42578125" style="2" customWidth="1"/>
    <col min="6" max="6" width="27" style="2" customWidth="1"/>
    <col min="7" max="16384" width="9.140625" style="2"/>
  </cols>
  <sheetData>
    <row r="1" spans="1:8" ht="78.75" customHeight="1" x14ac:dyDescent="0.3">
      <c r="A1" s="43" t="s">
        <v>51</v>
      </c>
      <c r="B1" s="43"/>
      <c r="C1" s="43"/>
      <c r="D1" s="43"/>
      <c r="E1" s="43"/>
      <c r="F1" s="43"/>
      <c r="G1" s="3"/>
    </row>
    <row r="2" spans="1:8" s="19" customFormat="1" ht="67.5" customHeight="1" x14ac:dyDescent="0.25">
      <c r="A2" s="38" t="s">
        <v>1</v>
      </c>
      <c r="B2" s="38" t="s">
        <v>0</v>
      </c>
      <c r="C2" s="36" t="s">
        <v>29</v>
      </c>
      <c r="D2" s="36"/>
      <c r="E2" s="36"/>
      <c r="F2" s="36"/>
      <c r="G2" s="22"/>
      <c r="H2" s="22"/>
    </row>
    <row r="3" spans="1:8" s="20" customFormat="1" ht="51" customHeight="1" x14ac:dyDescent="0.25">
      <c r="A3" s="39"/>
      <c r="B3" s="39"/>
      <c r="C3" s="36" t="s">
        <v>34</v>
      </c>
      <c r="D3" s="36"/>
      <c r="E3" s="36" t="s">
        <v>46</v>
      </c>
      <c r="F3" s="36"/>
    </row>
    <row r="4" spans="1:8" s="19" customFormat="1" ht="48.75" customHeight="1" x14ac:dyDescent="0.25">
      <c r="A4" s="40"/>
      <c r="B4" s="40"/>
      <c r="C4" s="26" t="s">
        <v>2</v>
      </c>
      <c r="D4" s="26" t="s">
        <v>35</v>
      </c>
      <c r="E4" s="26" t="s">
        <v>2</v>
      </c>
      <c r="F4" s="26" t="s">
        <v>35</v>
      </c>
    </row>
    <row r="5" spans="1:8" s="19" customFormat="1" ht="31.5" customHeight="1" x14ac:dyDescent="0.25">
      <c r="A5" s="27"/>
      <c r="B5" s="33" t="s">
        <v>47</v>
      </c>
      <c r="C5" s="44"/>
      <c r="D5" s="26"/>
      <c r="E5" s="10"/>
      <c r="F5" s="10"/>
    </row>
    <row r="6" spans="1:8" s="19" customFormat="1" ht="47.25" x14ac:dyDescent="0.25">
      <c r="A6" s="7">
        <v>1</v>
      </c>
      <c r="B6" s="8" t="s">
        <v>38</v>
      </c>
      <c r="C6" s="1">
        <v>1</v>
      </c>
      <c r="D6" s="1">
        <f>ROUND(14449*C6*1.055,2)</f>
        <v>15243.7</v>
      </c>
      <c r="E6" s="1">
        <v>1</v>
      </c>
      <c r="F6" s="1">
        <f>ROUND(14449*E6*1.055,2)</f>
        <v>15243.7</v>
      </c>
    </row>
    <row r="7" spans="1:8" s="19" customFormat="1" ht="44.25" customHeight="1" x14ac:dyDescent="0.25">
      <c r="A7" s="7">
        <v>2</v>
      </c>
      <c r="B7" s="8" t="s">
        <v>14</v>
      </c>
      <c r="C7" s="1"/>
      <c r="D7" s="1">
        <f>ROUND(D6*0.25,2)</f>
        <v>3810.93</v>
      </c>
      <c r="E7" s="1"/>
      <c r="F7" s="1">
        <f>ROUND(F6*0.25,2)</f>
        <v>3810.93</v>
      </c>
    </row>
    <row r="8" spans="1:8" s="19" customFormat="1" ht="50.25" customHeight="1" x14ac:dyDescent="0.25">
      <c r="A8" s="7">
        <v>3</v>
      </c>
      <c r="B8" s="8" t="s">
        <v>22</v>
      </c>
      <c r="C8" s="9"/>
      <c r="D8" s="1">
        <f>ROUND(D6*0.2,2)</f>
        <v>3048.74</v>
      </c>
      <c r="E8" s="9"/>
      <c r="F8" s="1">
        <f>ROUND(F6*0.2,2)</f>
        <v>3048.74</v>
      </c>
    </row>
    <row r="9" spans="1:8" s="19" customFormat="1" ht="36" customHeight="1" x14ac:dyDescent="0.25">
      <c r="A9" s="7">
        <v>4</v>
      </c>
      <c r="B9" s="8" t="s">
        <v>28</v>
      </c>
      <c r="C9" s="9"/>
      <c r="D9" s="1">
        <f>ROUND(D6*0.2,2)</f>
        <v>3048.74</v>
      </c>
      <c r="E9" s="9"/>
      <c r="F9" s="1">
        <f>ROUND(F6*0.2,2)</f>
        <v>3048.74</v>
      </c>
    </row>
    <row r="10" spans="1:8" s="19" customFormat="1" ht="60.75" customHeight="1" x14ac:dyDescent="0.25">
      <c r="A10" s="7">
        <v>5</v>
      </c>
      <c r="B10" s="8" t="s">
        <v>16</v>
      </c>
      <c r="C10" s="1"/>
      <c r="D10" s="1">
        <f>ROUND((D6)*0.05,2)</f>
        <v>762.19</v>
      </c>
      <c r="E10" s="1"/>
      <c r="F10" s="1">
        <f>ROUND((F6)*0.05,2)</f>
        <v>762.19</v>
      </c>
    </row>
    <row r="11" spans="1:8" s="19" customFormat="1" ht="51" customHeight="1" x14ac:dyDescent="0.25">
      <c r="A11" s="7">
        <v>6</v>
      </c>
      <c r="B11" s="8" t="s">
        <v>48</v>
      </c>
      <c r="C11" s="1"/>
      <c r="D11" s="1">
        <f>ROUND(D6*0.4,2)</f>
        <v>6097.48</v>
      </c>
      <c r="E11" s="1"/>
      <c r="F11" s="1">
        <f>ROUND(F6*0.4,2)</f>
        <v>6097.48</v>
      </c>
    </row>
    <row r="12" spans="1:8" s="19" customFormat="1" ht="64.5" customHeight="1" x14ac:dyDescent="0.25">
      <c r="A12" s="7">
        <v>7</v>
      </c>
      <c r="B12" s="8" t="s">
        <v>18</v>
      </c>
      <c r="C12" s="1"/>
      <c r="D12" s="1">
        <f>ROUND((D6+D7+D8+D9+D10)*0.05,2)</f>
        <v>1295.72</v>
      </c>
      <c r="E12" s="1"/>
      <c r="F12" s="1">
        <f>ROUND((F6+F7+F8+F9+F10)*0.05,2)</f>
        <v>1295.72</v>
      </c>
    </row>
    <row r="13" spans="1:8" s="19" customFormat="1" ht="69" customHeight="1" x14ac:dyDescent="0.25">
      <c r="A13" s="7">
        <v>8</v>
      </c>
      <c r="B13" s="8" t="s">
        <v>19</v>
      </c>
      <c r="C13" s="7"/>
      <c r="D13" s="7">
        <f>ROUND((D6+D7+D8+D9+D10)*0.01,2)</f>
        <v>259.14</v>
      </c>
      <c r="E13" s="7"/>
      <c r="F13" s="7">
        <f>ROUND((F6+F7+F8+F9+F10)*0.01,2)</f>
        <v>259.14</v>
      </c>
    </row>
    <row r="14" spans="1:8" s="19" customFormat="1" ht="24.75" customHeight="1" x14ac:dyDescent="0.25">
      <c r="A14" s="7">
        <v>9</v>
      </c>
      <c r="B14" s="10" t="s">
        <v>9</v>
      </c>
      <c r="C14" s="1"/>
      <c r="D14" s="1">
        <f>ROUND((D6+D7+D9+D8+D10+D11+D12)/29.3*42/12,2)</f>
        <v>3978.71</v>
      </c>
      <c r="E14" s="1"/>
      <c r="F14" s="1">
        <f>ROUND((F6+F7+F9+F8+F10+F11+F12)/29.3*42/12,2)</f>
        <v>3978.71</v>
      </c>
    </row>
    <row r="15" spans="1:8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11338.7</v>
      </c>
      <c r="E15" s="11"/>
      <c r="F15" s="11">
        <f>ROUND((F6+F7+F9+F8+F10+F11+F12+F13+F14)*0.302,2)</f>
        <v>11338.7</v>
      </c>
    </row>
    <row r="16" spans="1:8" s="19" customFormat="1" ht="36" customHeight="1" x14ac:dyDescent="0.25">
      <c r="A16" s="7">
        <v>11</v>
      </c>
      <c r="B16" s="8" t="s">
        <v>49</v>
      </c>
      <c r="C16" s="1"/>
      <c r="D16" s="1"/>
      <c r="E16" s="1"/>
      <c r="F16" s="1"/>
    </row>
    <row r="17" spans="1:6" s="19" customFormat="1" ht="23.25" customHeight="1" x14ac:dyDescent="0.25">
      <c r="A17" s="10"/>
      <c r="B17" s="12" t="s">
        <v>4</v>
      </c>
      <c r="C17" s="1"/>
      <c r="D17" s="1">
        <f>D6+D7+D9+D8+D10+D11+D12+D13+D15+D14</f>
        <v>48884.049999999996</v>
      </c>
      <c r="E17" s="1"/>
      <c r="F17" s="1">
        <f>F6+F7+F9+F8+F10+F11+F12+F13+F15+F14</f>
        <v>48884.049999999996</v>
      </c>
    </row>
    <row r="18" spans="1:6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586608.6</v>
      </c>
      <c r="E18" s="1"/>
      <c r="F18" s="1">
        <f t="shared" ref="F18" si="1">ROUND(F17*12,2)</f>
        <v>586608.6</v>
      </c>
    </row>
    <row r="19" spans="1:6" s="19" customFormat="1" ht="45" customHeight="1" x14ac:dyDescent="0.25">
      <c r="A19" s="27"/>
      <c r="B19" s="33" t="s">
        <v>10</v>
      </c>
      <c r="C19" s="44"/>
      <c r="D19" s="26"/>
      <c r="E19" s="10"/>
      <c r="F19" s="10"/>
    </row>
    <row r="20" spans="1:6" s="19" customFormat="1" ht="47.25" x14ac:dyDescent="0.25">
      <c r="A20" s="7">
        <v>1</v>
      </c>
      <c r="B20" s="8" t="s">
        <v>38</v>
      </c>
      <c r="C20" s="1">
        <v>1.25</v>
      </c>
      <c r="D20" s="1">
        <f>ROUND(13772*C20*1.055,2)</f>
        <v>18161.830000000002</v>
      </c>
      <c r="E20" s="1">
        <v>1.39</v>
      </c>
      <c r="F20" s="1">
        <f>ROUND(13772*E20*1.055,2)</f>
        <v>20195.95</v>
      </c>
    </row>
    <row r="21" spans="1:6" s="19" customFormat="1" ht="52.5" customHeight="1" x14ac:dyDescent="0.25">
      <c r="A21" s="7">
        <v>2</v>
      </c>
      <c r="B21" s="8" t="s">
        <v>14</v>
      </c>
      <c r="C21" s="1"/>
      <c r="D21" s="1">
        <f>ROUND(D20*0.25,2)</f>
        <v>4540.46</v>
      </c>
      <c r="E21" s="1"/>
      <c r="F21" s="1">
        <f>ROUND(F20*0.25,2)</f>
        <v>5048.99</v>
      </c>
    </row>
    <row r="22" spans="1:6" s="19" customFormat="1" ht="31.5" x14ac:dyDescent="0.25">
      <c r="A22" s="7">
        <v>3</v>
      </c>
      <c r="B22" s="8" t="s">
        <v>22</v>
      </c>
      <c r="C22" s="9"/>
      <c r="D22" s="1">
        <f>ROUND(D20*0.2,2)</f>
        <v>3632.37</v>
      </c>
      <c r="E22" s="9"/>
      <c r="F22" s="1">
        <f>ROUND(F20*0.2,2)</f>
        <v>4039.19</v>
      </c>
    </row>
    <row r="23" spans="1:6" s="19" customFormat="1" ht="30.75" customHeight="1" x14ac:dyDescent="0.25">
      <c r="A23" s="7">
        <v>4</v>
      </c>
      <c r="B23" s="8" t="s">
        <v>28</v>
      </c>
      <c r="C23" s="9"/>
      <c r="D23" s="1">
        <f>ROUND(D20*0.2,2)</f>
        <v>3632.37</v>
      </c>
      <c r="E23" s="9"/>
      <c r="F23" s="1">
        <f>ROUND(F20*0.2,2)</f>
        <v>4039.19</v>
      </c>
    </row>
    <row r="24" spans="1:6" s="19" customFormat="1" ht="31.5" x14ac:dyDescent="0.25">
      <c r="A24" s="7">
        <v>5</v>
      </c>
      <c r="B24" s="8" t="s">
        <v>16</v>
      </c>
      <c r="C24" s="1"/>
      <c r="D24" s="1">
        <f>ROUND((D20)*0.05,2)</f>
        <v>908.09</v>
      </c>
      <c r="E24" s="1"/>
      <c r="F24" s="1">
        <f>ROUND((F20)*0.05,2)</f>
        <v>1009.8</v>
      </c>
    </row>
    <row r="25" spans="1:6" s="19" customFormat="1" ht="31.5" x14ac:dyDescent="0.25">
      <c r="A25" s="7">
        <v>6</v>
      </c>
      <c r="B25" s="8" t="s">
        <v>48</v>
      </c>
      <c r="C25" s="1"/>
      <c r="D25" s="1">
        <f>ROUND(D20*0.4,2)</f>
        <v>7264.73</v>
      </c>
      <c r="E25" s="1"/>
      <c r="F25" s="1">
        <f>ROUND(F20*0.4,2)</f>
        <v>8078.38</v>
      </c>
    </row>
    <row r="26" spans="1:6" s="19" customFormat="1" ht="31.5" x14ac:dyDescent="0.25">
      <c r="A26" s="7">
        <v>7</v>
      </c>
      <c r="B26" s="8" t="s">
        <v>18</v>
      </c>
      <c r="C26" s="1"/>
      <c r="D26" s="1">
        <f>ROUND((D20+D21+D22+D23+D24)*0.05,2)</f>
        <v>1543.76</v>
      </c>
      <c r="E26" s="1"/>
      <c r="F26" s="1">
        <f>ROUND((F20+F21+F22+F23+F24)*0.05,2)</f>
        <v>1716.66</v>
      </c>
    </row>
    <row r="27" spans="1:6" s="19" customFormat="1" ht="68.25" customHeight="1" x14ac:dyDescent="0.25">
      <c r="A27" s="7">
        <v>8</v>
      </c>
      <c r="B27" s="8" t="s">
        <v>19</v>
      </c>
      <c r="C27" s="7"/>
      <c r="D27" s="7">
        <f>ROUND((D20+D21+D22+D23+D24)*0.01,2)</f>
        <v>308.75</v>
      </c>
      <c r="E27" s="7"/>
      <c r="F27" s="7">
        <f>ROUND((F20+F21+F22+F23+F24)*0.01,2)</f>
        <v>343.33</v>
      </c>
    </row>
    <row r="28" spans="1:6" s="19" customFormat="1" ht="42" customHeight="1" x14ac:dyDescent="0.25">
      <c r="A28" s="7">
        <v>9</v>
      </c>
      <c r="B28" s="10" t="s">
        <v>9</v>
      </c>
      <c r="C28" s="1"/>
      <c r="D28" s="1">
        <f>ROUND((D20+D21++D23+D22+D24+D25+D26)/29.3*42/12,2)</f>
        <v>4740.3599999999997</v>
      </c>
      <c r="E28" s="1"/>
      <c r="F28" s="1">
        <f>ROUND((F20+F21++F23+F22+F24+F25+F26)/29.3*42/12,2)</f>
        <v>5271.28</v>
      </c>
    </row>
    <row r="29" spans="1:6" s="19" customFormat="1" ht="48" customHeight="1" x14ac:dyDescent="0.25">
      <c r="A29" s="7">
        <v>10</v>
      </c>
      <c r="B29" s="8" t="s">
        <v>3</v>
      </c>
      <c r="C29" s="11"/>
      <c r="D29" s="11">
        <f>ROUND((D20+D21+D23+D22+D24+D25+D26+D27+D28)*0.302,2)</f>
        <v>13509.28</v>
      </c>
      <c r="E29" s="11"/>
      <c r="F29" s="11">
        <f>ROUND((F20+F21+F23+F22+F24+F25+F26+F27+F28)*0.302,2)</f>
        <v>15022.32</v>
      </c>
    </row>
    <row r="30" spans="1:6" s="19" customFormat="1" ht="15.75" x14ac:dyDescent="0.25">
      <c r="A30" s="7">
        <v>11</v>
      </c>
      <c r="B30" s="8" t="s">
        <v>6</v>
      </c>
      <c r="C30" s="1"/>
      <c r="D30" s="1"/>
      <c r="E30" s="1"/>
      <c r="F30" s="1"/>
    </row>
    <row r="31" spans="1:6" s="19" customFormat="1" ht="15.75" x14ac:dyDescent="0.25">
      <c r="A31" s="10"/>
      <c r="B31" s="12" t="s">
        <v>4</v>
      </c>
      <c r="C31" s="1"/>
      <c r="D31" s="1">
        <f>D20+D21+D23+D22+D24+D25+D26+D27+D29+D28</f>
        <v>58242</v>
      </c>
      <c r="E31" s="1"/>
      <c r="F31" s="1">
        <f>F20+F21+F23+F22+F24+F25+F26+F27+F29+F28</f>
        <v>64765.090000000004</v>
      </c>
    </row>
    <row r="32" spans="1:6" s="19" customFormat="1" ht="30.75" customHeight="1" x14ac:dyDescent="0.25">
      <c r="A32" s="10"/>
      <c r="B32" s="12" t="s">
        <v>5</v>
      </c>
      <c r="C32" s="1"/>
      <c r="D32" s="1">
        <f t="shared" ref="D32:F32" si="2">ROUND(D31*12,2)</f>
        <v>698904</v>
      </c>
      <c r="E32" s="1"/>
      <c r="F32" s="1">
        <f t="shared" si="2"/>
        <v>777181.08</v>
      </c>
    </row>
    <row r="33" spans="1:6" s="19" customFormat="1" ht="15.75" x14ac:dyDescent="0.25">
      <c r="A33" s="10"/>
      <c r="B33" s="33" t="s">
        <v>13</v>
      </c>
      <c r="C33" s="44"/>
      <c r="D33" s="13"/>
      <c r="E33" s="10"/>
      <c r="F33" s="10"/>
    </row>
    <row r="34" spans="1:6" s="19" customFormat="1" ht="42.75" customHeight="1" x14ac:dyDescent="0.25">
      <c r="A34" s="7">
        <v>1</v>
      </c>
      <c r="B34" s="8" t="s">
        <v>38</v>
      </c>
      <c r="C34" s="7">
        <v>0.25</v>
      </c>
      <c r="D34" s="1">
        <f>ROUND(12523*1.055*C34,2)</f>
        <v>3302.94</v>
      </c>
      <c r="E34" s="7">
        <v>0.25</v>
      </c>
      <c r="F34" s="1">
        <f>ROUND(12523*1.055*E34,2)</f>
        <v>3302.94</v>
      </c>
    </row>
    <row r="35" spans="1:6" s="19" customFormat="1" ht="41.25" customHeight="1" x14ac:dyDescent="0.25">
      <c r="A35" s="7">
        <v>2</v>
      </c>
      <c r="B35" s="8" t="s">
        <v>14</v>
      </c>
      <c r="C35" s="10"/>
      <c r="D35" s="1">
        <f>ROUND(D34*0.25,2)</f>
        <v>825.74</v>
      </c>
      <c r="E35" s="10"/>
      <c r="F35" s="1">
        <f>ROUND(F34*0.25,2)</f>
        <v>825.74</v>
      </c>
    </row>
    <row r="36" spans="1:6" s="19" customFormat="1" ht="18" customHeight="1" x14ac:dyDescent="0.25">
      <c r="A36" s="7">
        <v>3</v>
      </c>
      <c r="B36" s="8" t="s">
        <v>22</v>
      </c>
      <c r="C36" s="10"/>
      <c r="D36" s="1">
        <f>ROUND(D34*0.2,2)</f>
        <v>660.59</v>
      </c>
      <c r="E36" s="10"/>
      <c r="F36" s="1">
        <f>ROUND(F34*0.2,2)</f>
        <v>660.59</v>
      </c>
    </row>
    <row r="37" spans="1:6" s="19" customFormat="1" ht="22.5" customHeight="1" x14ac:dyDescent="0.25">
      <c r="A37" s="7">
        <v>4</v>
      </c>
      <c r="B37" s="8" t="s">
        <v>28</v>
      </c>
      <c r="C37" s="10"/>
      <c r="D37" s="1">
        <f>ROUND(D34*0.2,2)</f>
        <v>660.59</v>
      </c>
      <c r="E37" s="10"/>
      <c r="F37" s="1">
        <f>ROUND(F34*0.2,2)</f>
        <v>660.59</v>
      </c>
    </row>
    <row r="38" spans="1:6" s="19" customFormat="1" ht="31.5" x14ac:dyDescent="0.25">
      <c r="A38" s="7">
        <v>5</v>
      </c>
      <c r="B38" s="8" t="s">
        <v>16</v>
      </c>
      <c r="C38" s="1"/>
      <c r="D38" s="1">
        <f>ROUND((D34)*0.05,2)</f>
        <v>165.15</v>
      </c>
      <c r="E38" s="1"/>
      <c r="F38" s="1">
        <f>ROUND((F34)*0.05,2)</f>
        <v>165.15</v>
      </c>
    </row>
    <row r="39" spans="1:6" s="19" customFormat="1" ht="31.5" x14ac:dyDescent="0.25">
      <c r="A39" s="7">
        <v>6</v>
      </c>
      <c r="B39" s="8" t="s">
        <v>48</v>
      </c>
      <c r="C39" s="1"/>
      <c r="D39" s="1">
        <f>ROUND(D34*0.4,2)</f>
        <v>1321.18</v>
      </c>
      <c r="E39" s="1"/>
      <c r="F39" s="1">
        <f>ROUND(F34*0.4,2)</f>
        <v>1321.18</v>
      </c>
    </row>
    <row r="40" spans="1:6" s="19" customFormat="1" ht="31.5" x14ac:dyDescent="0.25">
      <c r="A40" s="7">
        <v>7</v>
      </c>
      <c r="B40" s="8" t="s">
        <v>18</v>
      </c>
      <c r="C40" s="1"/>
      <c r="D40" s="1">
        <f>ROUND((D34+D35+D37+D36+D38)*0.05,2)</f>
        <v>280.75</v>
      </c>
      <c r="E40" s="1"/>
      <c r="F40" s="1">
        <f>ROUND((F34+F35+F37+F36+F38)*0.05,2)</f>
        <v>280.75</v>
      </c>
    </row>
    <row r="41" spans="1:6" s="19" customFormat="1" ht="31.5" x14ac:dyDescent="0.25">
      <c r="A41" s="7">
        <v>8</v>
      </c>
      <c r="B41" s="8" t="s">
        <v>19</v>
      </c>
      <c r="C41" s="7"/>
      <c r="D41" s="7">
        <f>ROUND((D34+D35+D37+D36+D38)*0.01,2)</f>
        <v>56.15</v>
      </c>
      <c r="E41" s="7"/>
      <c r="F41" s="7">
        <f>ROUND((F34+F35+F37+F36+F38)*0.01,2)</f>
        <v>56.15</v>
      </c>
    </row>
    <row r="42" spans="1:6" s="19" customFormat="1" ht="49.5" customHeight="1" x14ac:dyDescent="0.25">
      <c r="A42" s="7">
        <v>9</v>
      </c>
      <c r="B42" s="8" t="s">
        <v>3</v>
      </c>
      <c r="C42" s="1"/>
      <c r="D42" s="11">
        <f>ROUND((D34+D35+D37+D36+D38+D39+D40+D41)*0.302,2)</f>
        <v>2196.4699999999998</v>
      </c>
      <c r="E42" s="1"/>
      <c r="F42" s="11">
        <f>ROUND((F34+F35+F37+F36+F38+F39+F40+F41)*0.302,2)</f>
        <v>2196.4699999999998</v>
      </c>
    </row>
    <row r="43" spans="1:6" s="19" customFormat="1" ht="54.75" customHeight="1" x14ac:dyDescent="0.25">
      <c r="A43" s="7">
        <v>10</v>
      </c>
      <c r="B43" s="8" t="s">
        <v>7</v>
      </c>
      <c r="C43" s="1"/>
      <c r="D43" s="11"/>
      <c r="E43" s="1"/>
      <c r="F43" s="11"/>
    </row>
    <row r="44" spans="1:6" s="19" customFormat="1" ht="43.5" customHeight="1" x14ac:dyDescent="0.25">
      <c r="A44" s="10"/>
      <c r="B44" s="12" t="s">
        <v>4</v>
      </c>
      <c r="C44" s="1"/>
      <c r="D44" s="1">
        <f>D34+D35+D37+D36+D38+D39+D40+D41+D43</f>
        <v>7273.09</v>
      </c>
      <c r="E44" s="1"/>
      <c r="F44" s="1">
        <f>F34+F35+F37+F36+F38+F39+F40+F41+F43</f>
        <v>7273.09</v>
      </c>
    </row>
    <row r="45" spans="1:6" s="19" customFormat="1" ht="3" hidden="1" customHeight="1" x14ac:dyDescent="0.25">
      <c r="A45" s="10"/>
      <c r="B45" s="12" t="s">
        <v>5</v>
      </c>
      <c r="C45" s="1"/>
      <c r="D45" s="1">
        <f t="shared" ref="D45:F45" si="3">ROUND(D44*12,2)</f>
        <v>87277.08</v>
      </c>
      <c r="E45" s="1"/>
      <c r="F45" s="1">
        <f t="shared" si="3"/>
        <v>87277.08</v>
      </c>
    </row>
    <row r="46" spans="1:6" s="19" customFormat="1" ht="51" customHeight="1" x14ac:dyDescent="0.25">
      <c r="A46" s="10"/>
      <c r="B46" s="33" t="s">
        <v>17</v>
      </c>
      <c r="C46" s="44"/>
      <c r="D46" s="1"/>
      <c r="E46" s="10"/>
      <c r="F46" s="10"/>
    </row>
    <row r="47" spans="1:6" s="19" customFormat="1" ht="48" customHeight="1" x14ac:dyDescent="0.25">
      <c r="A47" s="7">
        <v>1</v>
      </c>
      <c r="B47" s="8" t="s">
        <v>40</v>
      </c>
      <c r="C47" s="7">
        <v>1.125</v>
      </c>
      <c r="D47" s="1">
        <f>ROUND(8707*1.055*C47,2)</f>
        <v>10334.120000000001</v>
      </c>
      <c r="E47" s="7">
        <v>1.25</v>
      </c>
      <c r="F47" s="1">
        <f>ROUND(8707*1.055*E47,2)</f>
        <v>11482.36</v>
      </c>
    </row>
    <row r="48" spans="1:6" s="19" customFormat="1" ht="31.5" x14ac:dyDescent="0.25">
      <c r="A48" s="7">
        <v>2</v>
      </c>
      <c r="B48" s="8" t="s">
        <v>23</v>
      </c>
      <c r="C48" s="10"/>
      <c r="D48" s="1">
        <f>ROUND(D47*0.3,0)</f>
        <v>3100</v>
      </c>
      <c r="E48" s="10"/>
      <c r="F48" s="1">
        <f>ROUND(F47*0.3,0)</f>
        <v>3445</v>
      </c>
    </row>
    <row r="49" spans="1:6" s="19" customFormat="1" ht="15.75" x14ac:dyDescent="0.25">
      <c r="A49" s="7">
        <v>3</v>
      </c>
      <c r="B49" s="8" t="s">
        <v>20</v>
      </c>
      <c r="C49" s="1"/>
      <c r="D49" s="1">
        <f>ROUND((D47+D48)*0.01,2)</f>
        <v>134.34</v>
      </c>
      <c r="E49" s="1"/>
      <c r="F49" s="1">
        <f>ROUND((F47+F48)*0.01,2)</f>
        <v>149.27000000000001</v>
      </c>
    </row>
    <row r="50" spans="1:6" s="19" customFormat="1" ht="15.75" x14ac:dyDescent="0.25">
      <c r="A50" s="7">
        <v>4</v>
      </c>
      <c r="B50" s="10" t="s">
        <v>21</v>
      </c>
      <c r="C50" s="1"/>
      <c r="D50" s="1">
        <f>ROUND((16242*C47-D47-D48),2)</f>
        <v>4838.13</v>
      </c>
      <c r="E50" s="1"/>
      <c r="F50" s="1">
        <f>ROUND((16242*E47-F47-F48),2)</f>
        <v>5375.14</v>
      </c>
    </row>
    <row r="51" spans="1:6" s="19" customFormat="1" ht="15.75" x14ac:dyDescent="0.25">
      <c r="A51" s="7">
        <v>5</v>
      </c>
      <c r="B51" s="10" t="s">
        <v>9</v>
      </c>
      <c r="C51" s="1"/>
      <c r="D51" s="1">
        <f>ROUND(16242/29.3*28*C47/365*28,2)</f>
        <v>1339.52</v>
      </c>
      <c r="E51" s="1"/>
      <c r="F51" s="1">
        <f>ROUND(16242/29.3*28*E47/365*28,2)</f>
        <v>1488.35</v>
      </c>
    </row>
    <row r="52" spans="1:6" s="19" customFormat="1" ht="15.75" x14ac:dyDescent="0.25">
      <c r="A52" s="7">
        <v>6</v>
      </c>
      <c r="B52" s="8" t="s">
        <v>3</v>
      </c>
      <c r="C52" s="1"/>
      <c r="D52" s="1">
        <f>ROUND((D47+D48+D49+D50+D51)*0.302,0)</f>
        <v>5963</v>
      </c>
      <c r="E52" s="1"/>
      <c r="F52" s="1">
        <f>ROUND((F47+F48+F49+F50+F51)*0.302,0)</f>
        <v>6626</v>
      </c>
    </row>
    <row r="53" spans="1:6" s="19" customFormat="1" ht="15.75" x14ac:dyDescent="0.25">
      <c r="A53" s="7">
        <v>7</v>
      </c>
      <c r="B53" s="8" t="s">
        <v>8</v>
      </c>
      <c r="C53" s="1"/>
      <c r="D53" s="1"/>
      <c r="E53" s="1"/>
      <c r="F53" s="1"/>
    </row>
    <row r="54" spans="1:6" s="19" customFormat="1" ht="15.75" x14ac:dyDescent="0.25">
      <c r="A54" s="10"/>
      <c r="B54" s="12" t="s">
        <v>4</v>
      </c>
      <c r="C54" s="1"/>
      <c r="D54" s="1">
        <f>D47+D48+D49+D52+D50+D51</f>
        <v>25709.11</v>
      </c>
      <c r="E54" s="1"/>
      <c r="F54" s="1">
        <f>F47+F48+F49+F52+F50+F51</f>
        <v>28566.12</v>
      </c>
    </row>
    <row r="55" spans="1:6" s="19" customFormat="1" ht="15.75" x14ac:dyDescent="0.25">
      <c r="A55" s="10"/>
      <c r="B55" s="12" t="s">
        <v>5</v>
      </c>
      <c r="C55" s="10"/>
      <c r="D55" s="1">
        <f>ROUND(D54*12,0)</f>
        <v>308509</v>
      </c>
      <c r="E55" s="10"/>
      <c r="F55" s="1">
        <f>ROUND(F54*12,0)</f>
        <v>342793</v>
      </c>
    </row>
    <row r="56" spans="1:6" s="19" customFormat="1" ht="31.5" x14ac:dyDescent="0.25">
      <c r="A56" s="10"/>
      <c r="B56" s="14" t="s">
        <v>24</v>
      </c>
      <c r="C56" s="13"/>
      <c r="D56" s="1">
        <f>D32+D45+D55+D18</f>
        <v>1681298.6800000002</v>
      </c>
      <c r="E56" s="13"/>
      <c r="F56" s="1">
        <f>F32+F45+F55+F18</f>
        <v>1793859.7599999998</v>
      </c>
    </row>
    <row r="57" spans="1:6" s="19" customFormat="1" ht="31.5" x14ac:dyDescent="0.25">
      <c r="A57" s="10"/>
      <c r="B57" s="14" t="s">
        <v>33</v>
      </c>
      <c r="C57" s="15">
        <v>20</v>
      </c>
      <c r="D57" s="9">
        <f>ROUND(D56/C57,0)</f>
        <v>84065</v>
      </c>
      <c r="E57" s="15">
        <v>20</v>
      </c>
      <c r="F57" s="9">
        <f>ROUND(F56/E57,0)</f>
        <v>89693</v>
      </c>
    </row>
    <row r="58" spans="1:6" s="19" customFormat="1" ht="63" x14ac:dyDescent="0.25">
      <c r="A58" s="10"/>
      <c r="B58" s="14" t="s">
        <v>25</v>
      </c>
      <c r="C58" s="10"/>
      <c r="D58" s="9">
        <f>D57</f>
        <v>84065</v>
      </c>
      <c r="E58" s="10"/>
      <c r="F58" s="9">
        <f>D57</f>
        <v>84065</v>
      </c>
    </row>
    <row r="59" spans="1:6" s="19" customFormat="1" ht="78.75" x14ac:dyDescent="0.25">
      <c r="A59" s="10"/>
      <c r="B59" s="18" t="s">
        <v>26</v>
      </c>
      <c r="C59" s="7"/>
      <c r="D59" s="21">
        <f>ROUND(D58/D57,3)</f>
        <v>1</v>
      </c>
      <c r="E59" s="7"/>
      <c r="F59" s="21">
        <f>ROUND(F58/F57,3)</f>
        <v>0.93700000000000006</v>
      </c>
    </row>
    <row r="60" spans="1:6" s="19" customFormat="1" ht="189" x14ac:dyDescent="0.25">
      <c r="A60" s="10"/>
      <c r="B60" s="25" t="s">
        <v>41</v>
      </c>
      <c r="C60" s="10"/>
      <c r="D60" s="9">
        <v>4191</v>
      </c>
      <c r="E60" s="10"/>
      <c r="F60" s="9">
        <v>4191</v>
      </c>
    </row>
    <row r="61" spans="1:6" s="19" customFormat="1" ht="31.5" x14ac:dyDescent="0.25">
      <c r="A61" s="10"/>
      <c r="B61" s="14" t="s">
        <v>27</v>
      </c>
      <c r="C61" s="10"/>
      <c r="D61" s="9">
        <f>D60+D58</f>
        <v>88256</v>
      </c>
      <c r="E61" s="10"/>
      <c r="F61" s="9">
        <f>F60+F58</f>
        <v>88256</v>
      </c>
    </row>
    <row r="62" spans="1:6" ht="63" x14ac:dyDescent="0.25">
      <c r="A62" s="32"/>
      <c r="B62" s="28" t="s">
        <v>50</v>
      </c>
      <c r="C62" s="29"/>
      <c r="D62" s="30">
        <f>ROUND(D57/D58,3)</f>
        <v>1</v>
      </c>
      <c r="E62" s="31"/>
      <c r="F62" s="30">
        <f>ROUND(F57/F58,3)</f>
        <v>1.0669999999999999</v>
      </c>
    </row>
  </sheetData>
  <mergeCells count="10">
    <mergeCell ref="B46:C46"/>
    <mergeCell ref="B5:C5"/>
    <mergeCell ref="B19:C19"/>
    <mergeCell ref="C3:D3"/>
    <mergeCell ref="B2:B4"/>
    <mergeCell ref="A2:A4"/>
    <mergeCell ref="A1:F1"/>
    <mergeCell ref="C2:F2"/>
    <mergeCell ref="E3:F3"/>
    <mergeCell ref="B33:C33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2023-05-10T09:38:41Z</dcterms:modified>
</cp:coreProperties>
</file>