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125" windowWidth="15120" windowHeight="6990" activeTab="2"/>
  </bookViews>
  <sheets>
    <sheet name="5- дневная  с селом" sheetId="6" r:id="rId1"/>
    <sheet name="5- дневная  с инклюзией" sheetId="7" r:id="rId2"/>
    <sheet name="5- дневная  надомники основная" sheetId="8" r:id="rId3"/>
  </sheets>
  <definedNames>
    <definedName name="_xlnm.Print_Titles" localSheetId="2">'5- дневная  надомники основная'!$A:$B,'5- дневная  надомники основная'!$5:$6</definedName>
    <definedName name="_xlnm.Print_Titles" localSheetId="1">'5- дневная  с инклюзией'!$A:$B,'5- дневная  с инклюзией'!$5:$6</definedName>
    <definedName name="_xlnm.Print_Titles" localSheetId="0">'5- дневная  с селом'!$A:$B,'5- дневная  с селом'!$5:$6</definedName>
    <definedName name="_xlnm.Print_Area" localSheetId="2">'5- дневная  надомники основная'!$A$1:$H$41</definedName>
    <definedName name="_xlnm.Print_Area" localSheetId="1">'5- дневная  с инклюзией'!$A$1:$H$45</definedName>
    <definedName name="_xlnm.Print_Area" localSheetId="0">'5- дневная  с селом'!$A$1:$H$46</definedName>
  </definedNames>
  <calcPr calcId="145621"/>
</workbook>
</file>

<file path=xl/calcChain.xml><?xml version="1.0" encoding="utf-8"?>
<calcChain xmlns="http://schemas.openxmlformats.org/spreadsheetml/2006/main">
  <c r="E34" i="8" l="1"/>
  <c r="F34" i="8"/>
  <c r="G34" i="8"/>
  <c r="D34" i="8"/>
  <c r="E39" i="7"/>
  <c r="F39" i="7"/>
  <c r="G39" i="7"/>
  <c r="D39" i="7"/>
  <c r="E37" i="7"/>
  <c r="F37" i="7"/>
  <c r="G37" i="7"/>
  <c r="D37" i="7"/>
  <c r="E35" i="7"/>
  <c r="F35" i="7"/>
  <c r="G35" i="7"/>
  <c r="D35" i="7"/>
  <c r="E40" i="6"/>
  <c r="F40" i="6"/>
  <c r="G40" i="6"/>
  <c r="D40" i="6"/>
  <c r="E38" i="6"/>
  <c r="F38" i="6"/>
  <c r="G38" i="6"/>
  <c r="D38" i="6"/>
  <c r="E36" i="6"/>
  <c r="F36" i="6"/>
  <c r="G36" i="6"/>
  <c r="D36" i="6"/>
  <c r="G24" i="8" l="1"/>
  <c r="F24" i="8"/>
  <c r="E24" i="8"/>
  <c r="D24" i="8"/>
  <c r="G24" i="7"/>
  <c r="F24" i="7"/>
  <c r="E24" i="7"/>
  <c r="D24" i="7"/>
  <c r="G24" i="6"/>
  <c r="F24" i="6"/>
  <c r="E24" i="6"/>
  <c r="D24" i="6"/>
  <c r="G11" i="8"/>
  <c r="F11" i="8"/>
  <c r="E11" i="8"/>
  <c r="D11" i="8"/>
  <c r="G10" i="7"/>
  <c r="F10" i="7"/>
  <c r="E10" i="7"/>
  <c r="D10" i="7"/>
  <c r="G10" i="6"/>
  <c r="F10" i="6"/>
  <c r="E10" i="6"/>
  <c r="D10" i="6"/>
  <c r="E27" i="8" l="1"/>
  <c r="F27" i="8"/>
  <c r="G27" i="8"/>
  <c r="D27" i="8"/>
  <c r="E14" i="8"/>
  <c r="F14" i="8"/>
  <c r="G14" i="8"/>
  <c r="D14" i="8"/>
  <c r="H14" i="8" s="1"/>
  <c r="H27" i="8" l="1"/>
  <c r="E22" i="8"/>
  <c r="E23" i="8" s="1"/>
  <c r="F22" i="8"/>
  <c r="F23" i="8" s="1"/>
  <c r="G22" i="8"/>
  <c r="G23" i="8" s="1"/>
  <c r="D22" i="8"/>
  <c r="D23" i="8" s="1"/>
  <c r="E9" i="8"/>
  <c r="E10" i="8" s="1"/>
  <c r="F9" i="8"/>
  <c r="F10" i="8" s="1"/>
  <c r="G9" i="8"/>
  <c r="G10" i="8" s="1"/>
  <c r="D9" i="8"/>
  <c r="H22" i="8" l="1"/>
  <c r="H9" i="8"/>
  <c r="D10" i="8"/>
  <c r="H23" i="8" l="1"/>
  <c r="H21" i="8"/>
  <c r="H8" i="8"/>
  <c r="E12" i="8" l="1"/>
  <c r="E13" i="8"/>
  <c r="G12" i="8"/>
  <c r="G13" i="8"/>
  <c r="F25" i="8"/>
  <c r="F26" i="8"/>
  <c r="D13" i="8"/>
  <c r="H11" i="8"/>
  <c r="D12" i="8"/>
  <c r="F13" i="8"/>
  <c r="F12" i="8"/>
  <c r="E26" i="8"/>
  <c r="E25" i="8"/>
  <c r="G26" i="8"/>
  <c r="G25" i="8"/>
  <c r="H10" i="8"/>
  <c r="G23" i="7"/>
  <c r="F23" i="7"/>
  <c r="E23" i="7"/>
  <c r="D23" i="7"/>
  <c r="H22" i="7"/>
  <c r="G9" i="7"/>
  <c r="G13" i="7" s="1"/>
  <c r="F9" i="7"/>
  <c r="F13" i="7" s="1"/>
  <c r="E9" i="7"/>
  <c r="E13" i="7" s="1"/>
  <c r="D9" i="7"/>
  <c r="D13" i="7" s="1"/>
  <c r="H8" i="7"/>
  <c r="G28" i="8" l="1"/>
  <c r="E28" i="8"/>
  <c r="E29" i="8"/>
  <c r="F28" i="8"/>
  <c r="F29" i="8" s="1"/>
  <c r="F31" i="8" s="1"/>
  <c r="F32" i="8" s="1"/>
  <c r="F15" i="8"/>
  <c r="F16" i="8" s="1"/>
  <c r="G15" i="8"/>
  <c r="G16" i="8" s="1"/>
  <c r="E15" i="8"/>
  <c r="E16" i="8" s="1"/>
  <c r="E18" i="8" s="1"/>
  <c r="D15" i="8"/>
  <c r="D16" i="8" s="1"/>
  <c r="D18" i="8" s="1"/>
  <c r="H23" i="7"/>
  <c r="H12" i="8"/>
  <c r="H13" i="8"/>
  <c r="D25" i="8"/>
  <c r="D26" i="8"/>
  <c r="H26" i="8" s="1"/>
  <c r="H24" i="8"/>
  <c r="D14" i="7"/>
  <c r="D12" i="7"/>
  <c r="H10" i="7"/>
  <c r="D15" i="7"/>
  <c r="D11" i="7"/>
  <c r="F14" i="7"/>
  <c r="F12" i="7"/>
  <c r="F15" i="7"/>
  <c r="F11" i="7"/>
  <c r="E27" i="7"/>
  <c r="E26" i="7"/>
  <c r="E28" i="7"/>
  <c r="E25" i="7"/>
  <c r="G27" i="7"/>
  <c r="G26" i="7"/>
  <c r="G28" i="7"/>
  <c r="G25" i="7"/>
  <c r="E15" i="7"/>
  <c r="E11" i="7"/>
  <c r="E14" i="7"/>
  <c r="E12" i="7"/>
  <c r="G15" i="7"/>
  <c r="G11" i="7"/>
  <c r="G14" i="7"/>
  <c r="G12" i="7"/>
  <c r="F28" i="7"/>
  <c r="F25" i="7"/>
  <c r="F27" i="7"/>
  <c r="F26" i="7"/>
  <c r="H9" i="7"/>
  <c r="E31" i="8" l="1"/>
  <c r="G29" i="8"/>
  <c r="G31" i="8" s="1"/>
  <c r="G32" i="8" s="1"/>
  <c r="D28" i="8"/>
  <c r="E29" i="7"/>
  <c r="F29" i="7"/>
  <c r="G29" i="7"/>
  <c r="G30" i="7" s="1"/>
  <c r="G32" i="7" s="1"/>
  <c r="G33" i="7" s="1"/>
  <c r="F18" i="8"/>
  <c r="F19" i="8" s="1"/>
  <c r="F36" i="8" s="1"/>
  <c r="E16" i="7"/>
  <c r="E32" i="8"/>
  <c r="H25" i="8"/>
  <c r="H15" i="8"/>
  <c r="E19" i="8"/>
  <c r="D28" i="7"/>
  <c r="H28" i="7" s="1"/>
  <c r="D25" i="7"/>
  <c r="H25" i="7" s="1"/>
  <c r="D27" i="7"/>
  <c r="H27" i="7" s="1"/>
  <c r="D26" i="7"/>
  <c r="H26" i="7" s="1"/>
  <c r="H24" i="7"/>
  <c r="G16" i="7"/>
  <c r="G17" i="7" s="1"/>
  <c r="G19" i="7" s="1"/>
  <c r="F16" i="7"/>
  <c r="F17" i="7" s="1"/>
  <c r="H11" i="7"/>
  <c r="H15" i="7"/>
  <c r="H12" i="7"/>
  <c r="H13" i="7"/>
  <c r="D16" i="7"/>
  <c r="H14" i="7"/>
  <c r="H16" i="7" l="1"/>
  <c r="H28" i="8"/>
  <c r="D29" i="8"/>
  <c r="D31" i="8" s="1"/>
  <c r="F19" i="7"/>
  <c r="E17" i="7"/>
  <c r="E19" i="7" s="1"/>
  <c r="E20" i="7" s="1"/>
  <c r="D17" i="7"/>
  <c r="D19" i="7" s="1"/>
  <c r="E30" i="7"/>
  <c r="E32" i="7" s="1"/>
  <c r="E33" i="7" s="1"/>
  <c r="F30" i="7"/>
  <c r="F32" i="7" s="1"/>
  <c r="F33" i="7" s="1"/>
  <c r="D29" i="7"/>
  <c r="H29" i="7" s="1"/>
  <c r="G18" i="8"/>
  <c r="G19" i="8" s="1"/>
  <c r="G36" i="8" s="1"/>
  <c r="E36" i="8"/>
  <c r="D19" i="8"/>
  <c r="H18" i="8"/>
  <c r="H16" i="8"/>
  <c r="G20" i="7"/>
  <c r="F20" i="7"/>
  <c r="D30" i="7" l="1"/>
  <c r="D32" i="7" s="1"/>
  <c r="G41" i="7"/>
  <c r="H29" i="8"/>
  <c r="H19" i="8"/>
  <c r="H17" i="7"/>
  <c r="E41" i="7" l="1"/>
  <c r="H30" i="7"/>
  <c r="D33" i="7"/>
  <c r="H33" i="7" s="1"/>
  <c r="H31" i="8"/>
  <c r="D32" i="8"/>
  <c r="F41" i="7"/>
  <c r="D20" i="7"/>
  <c r="H19" i="7"/>
  <c r="H32" i="7" l="1"/>
  <c r="H32" i="8"/>
  <c r="D36" i="8"/>
  <c r="H39" i="7"/>
  <c r="H35" i="7"/>
  <c r="H20" i="7"/>
  <c r="H37" i="7"/>
  <c r="F9" i="6"/>
  <c r="G9" i="6"/>
  <c r="G23" i="6"/>
  <c r="H22" i="6"/>
  <c r="H8" i="6"/>
  <c r="H34" i="8" l="1"/>
  <c r="H36" i="8"/>
  <c r="H38" i="8" s="1"/>
  <c r="D41" i="7"/>
  <c r="H41" i="7" s="1"/>
  <c r="H43" i="7" s="1"/>
  <c r="G29" i="6"/>
  <c r="G28" i="6"/>
  <c r="G15" i="6"/>
  <c r="G14" i="6"/>
  <c r="F15" i="6"/>
  <c r="F14" i="6"/>
  <c r="G27" i="6"/>
  <c r="G26" i="6"/>
  <c r="G25" i="6"/>
  <c r="G13" i="6"/>
  <c r="G12" i="6"/>
  <c r="G11" i="6"/>
  <c r="F13" i="6"/>
  <c r="F12" i="6"/>
  <c r="F11" i="6"/>
  <c r="F16" i="6" l="1"/>
  <c r="F17" i="6" s="1"/>
  <c r="G30" i="6"/>
  <c r="G31" i="6" s="1"/>
  <c r="G33" i="6" s="1"/>
  <c r="G34" i="6" s="1"/>
  <c r="G16" i="6"/>
  <c r="G17" i="6" l="1"/>
  <c r="F19" i="6"/>
  <c r="F20" i="6" s="1"/>
  <c r="G19" i="6"/>
  <c r="G20" i="6" s="1"/>
  <c r="F23" i="6"/>
  <c r="E23" i="6"/>
  <c r="D23" i="6"/>
  <c r="E29" i="6" l="1"/>
  <c r="E28" i="6"/>
  <c r="D29" i="6"/>
  <c r="D28" i="6"/>
  <c r="F29" i="6"/>
  <c r="F28" i="6"/>
  <c r="D27" i="6"/>
  <c r="D26" i="6"/>
  <c r="D25" i="6"/>
  <c r="F27" i="6"/>
  <c r="F26" i="6"/>
  <c r="F25" i="6"/>
  <c r="E27" i="6"/>
  <c r="E26" i="6"/>
  <c r="E25" i="6"/>
  <c r="H23" i="6"/>
  <c r="E9" i="6"/>
  <c r="D9" i="6"/>
  <c r="F30" i="6" l="1"/>
  <c r="E30" i="6"/>
  <c r="E31" i="6" s="1"/>
  <c r="D30" i="6"/>
  <c r="D31" i="6" s="1"/>
  <c r="E15" i="6"/>
  <c r="E14" i="6"/>
  <c r="D15" i="6"/>
  <c r="D14" i="6"/>
  <c r="D13" i="6"/>
  <c r="D12" i="6"/>
  <c r="D11" i="6"/>
  <c r="E13" i="6"/>
  <c r="E12" i="6"/>
  <c r="E11" i="6"/>
  <c r="H25" i="6"/>
  <c r="H29" i="6"/>
  <c r="H27" i="6"/>
  <c r="H24" i="6"/>
  <c r="H9" i="6"/>
  <c r="D16" i="6" l="1"/>
  <c r="E33" i="6"/>
  <c r="E34" i="6" s="1"/>
  <c r="F31" i="6"/>
  <c r="F33" i="6" s="1"/>
  <c r="F34" i="6" s="1"/>
  <c r="D33" i="6"/>
  <c r="E16" i="6"/>
  <c r="H28" i="6"/>
  <c r="H26" i="6"/>
  <c r="E17" i="6" l="1"/>
  <c r="E19" i="6" s="1"/>
  <c r="E20" i="6" s="1"/>
  <c r="D17" i="6"/>
  <c r="D19" i="6" s="1"/>
  <c r="H30" i="6"/>
  <c r="H10" i="6"/>
  <c r="H31" i="6" l="1"/>
  <c r="D34" i="6"/>
  <c r="H33" i="6"/>
  <c r="H13" i="6"/>
  <c r="H11" i="6"/>
  <c r="H15" i="6"/>
  <c r="H34" i="6" l="1"/>
  <c r="H12" i="6"/>
  <c r="H14" i="6"/>
  <c r="H16" i="6" l="1"/>
  <c r="H17" i="6" l="1"/>
  <c r="D20" i="6"/>
  <c r="F42" i="6" l="1"/>
  <c r="E42" i="6"/>
  <c r="H19" i="6"/>
  <c r="H20" i="6"/>
  <c r="G42" i="6" l="1"/>
  <c r="D42" i="6"/>
  <c r="H40" i="6"/>
  <c r="H38" i="6"/>
  <c r="H36" i="6"/>
  <c r="H42" i="6" l="1"/>
  <c r="H44" i="6" s="1"/>
  <c r="H40" i="8" l="1"/>
  <c r="H45" i="7"/>
  <c r="H46" i="6" l="1"/>
</calcChain>
</file>

<file path=xl/sharedStrings.xml><?xml version="1.0" encoding="utf-8"?>
<sst xmlns="http://schemas.openxmlformats.org/spreadsheetml/2006/main" count="238" uniqueCount="63">
  <si>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</si>
  <si>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</si>
  <si>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</si>
  <si>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</si>
  <si>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</si>
  <si>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</si>
  <si>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</si>
  <si>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</si>
  <si>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</si>
  <si>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</si>
  <si>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</si>
  <si>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</si>
  <si>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</si>
  <si>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</si>
  <si>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</si>
  <si>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</si>
  <si>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Количество ставок учителей на предельно допустимую недельную нагрузку</t>
  </si>
  <si>
    <t>час</t>
  </si>
  <si>
    <t>1 класс</t>
  </si>
  <si>
    <t>2 класс</t>
  </si>
  <si>
    <t>3 класс</t>
  </si>
  <si>
    <t>4 класс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</si>
  <si>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</si>
  <si>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</si>
  <si>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</si>
  <si>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</si>
  <si>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работу в сельской местности (20%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</si>
  <si>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</si>
  <si>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 с надбавкой за квалификацию)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</si>
  <si>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</si>
  <si>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</si>
  <si>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</si>
  <si>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</si>
  <si>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</si>
  <si>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>Затраты на оплату труда работников, непосредственно связанных с оказанием муниципальной услуги,  для включения в нормативные  затраты, непосредственно связанные с оказанием муниципальной услуги, руб.</t>
  </si>
  <si>
    <t>Доплаты за инклюзивное образование (15% от ФЗП по ставкам заработной платы за каждого обучающегося)</t>
  </si>
  <si>
    <t>Недельная нагрузка для включения в норматив (К=0,6 от максимально допустимой недельной нагрузки на основе выборки)</t>
  </si>
  <si>
    <t>Количество ставок учителей на недельную нагрузку, учитываемую при расчете норматива</t>
  </si>
  <si>
    <t>Недельная нагрузка для включения в норматив (К=0,4 от максимально допустимой недельной нагрузки на основе выборки)</t>
  </si>
  <si>
    <t>Затраты на оплату труда учителей-внеурочная деятельность</t>
  </si>
  <si>
    <t>Доплаты за обучение на дому (среднее значение 12,5 %  доплат при обучении  на дому детей с РАС и в остальных случаях от ФЗП по ставкам заработной платы)</t>
  </si>
  <si>
    <t>Отраслевой  корректирующий коэффициент к расходам на оплату труда в базовом нормативе затрат, учитывающий особенности предоставления муниципальной услуги  при обучении на дому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</si>
  <si>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особенности предоставления муниципальной услуги обучающимся с ОВЗ в классах с инклюзивным образованием</t>
  </si>
  <si>
    <t>Территориальный   корректирующий коэффициент к расходам на оплату труда в базовом нормативе затрат, непосредственно связанных с оказанием муниципальной услуги, за работу в сельских населенных пунктах и рабочих поселках</t>
  </si>
  <si>
    <t>Затраты на оплату труда работников, непосредственно связанных с оказанием муниципальной услуги,  для включения в нормативные  затраты, непосредственно связанные с оказанием муниципальной услуги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</si>
  <si>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</si>
  <si>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ед.</t>
  </si>
  <si>
    <t>чел.</t>
  </si>
  <si>
    <t>Численность обучающихся</t>
  </si>
  <si>
    <t>Расчетная наполняемость классов</t>
  </si>
  <si>
    <t>Расчетная наполняемость классов.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</si>
  <si>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</si>
  <si>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Приложение №27</t>
  </si>
  <si>
    <t>Размер заработной платы в соответствии со ставкой заработной платы (с учетом индексации с 01.10.2023 года на 5,5%)</t>
  </si>
  <si>
    <t>2024 год-расчет территориального   корректирующего коэффициента к расходам на оплату труда в базовом нормативе затрат, непосредственно связанных с оказанием муниципальной услуги  по по реализации основных общеобразовательных программ начального общего образования (за работу в сельских населенных пунктах и рабочих поселках-5-дневная учебная неделя)</t>
  </si>
  <si>
    <t>2024 год-расчет отраслевого  корректирующего коэффициента к расходам на оплату труда в базовом нормативе затрат, непосредственно связанных с оказанием муниципальной услуги  по по реализации основных общеобразовательных программ начального общего образования, при реализации адаптированных  образовательных программ начального общего образования обучающимся с ОВЗ в классах с инклюзивным образованием (5-дневная рабочая неделя)</t>
  </si>
  <si>
    <t>2024 год-расчет отраслевых  корректирующих коэффициентов к расходам на оплату труда и на приобретение материальных запасов и иные затраты  в базовом нормативе затрат, непосредственно связанных с оказанием муниципальной услуги   по реализации основных общеобразовательных программ начального общего образования, при реализации   образовательных программ начального общего образования по очной форме обучения при обучении на дому (5-дневная рабочая неделя)</t>
  </si>
  <si>
    <t>Отраслевой корректирующий коэффициент к затратам  на приобретение материальных запасов,   используемых в процессе оказания муниципальной услуги, и иные затраты, в базовом норматие затрат, непосредственно связанных с оказанием муниципальной услуги,  для соответствующего уровня образования при обучении на дому, рассчитанный  на основании  постановления Правительства Ростовской области от 23.12.2022 №1127 "Об утверждении нормативов на реализацию программ дошкольного, начального общего, основного общего, среднего общего, дополнительного образования в организациях, реализующих образовательные программы, и корректирующих коэффициентов"</t>
  </si>
  <si>
    <t xml:space="preserve">19,2 % от ФОТ учителей </t>
  </si>
  <si>
    <t xml:space="preserve">24,0 % от ФОТ учителей </t>
  </si>
  <si>
    <t xml:space="preserve">22,7 % от ФОТ учителей  </t>
  </si>
  <si>
    <t>Приложение №28</t>
  </si>
  <si>
    <t>Приложение №29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</si>
</sst>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2" borderId="0" xfId="0" applyFont="1" applyFill="1"/>
    <xf numFmtId="0" fontId="5" fillId="2" borderId="0" xfId="0" applyFont="1" applyFill="1" applyBorder="1" applyAlignment="1">
      <alignment horizontal="right"/>
    </xf>
    <xf numFmtId="0" fontId="1" fillId="2" borderId="0" xfId="0" applyFont="1" applyFill="1"/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3" fontId="1" fillId="2" borderId="0" xfId="0" applyNumberFormat="1" applyFont="1" applyFill="1"/>
    <xf numFmtId="0" fontId="1" fillId="2" borderId="1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1" fillId="2" borderId="2" xfId="0" applyFont="1" applyFill="1" applyBorder="1" applyAlignment="1">
      <alignment horizontal="center"/>
    </xf>
    <xf numFmtId="4" fontId="1" fillId="2" borderId="0" xfId="0" applyNumberFormat="1" applyFont="1" applyFill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6" fillId="2" borderId="3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4" fontId="1" fillId="2" borderId="0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zoomScale="78" zoomScaleNormal="77" zoomScaleSheetLayoutView="78" workbookViewId="0">
      <pane xSplit="3" ySplit="6" topLeftCell="D46" activePane="bottomRight" state="frozen"/>
      <selection pane="topRight" activeCell="D1" sqref="D1"/>
      <selection pane="bottomLeft" activeCell="A5" sqref="A5"/>
      <selection pane="bottomRight" activeCell="S56" sqref="S56"/>
    </sheetView>
  </sheetViews>
  <sheetFormatPr defaultRowHeight="15" x14ac:dyDescent="0.25"/>
  <cols>
    <col min="1" max="1" width="7.140625" style="3" customWidth="1"/>
    <col min="2" max="2" width="42.5703125" style="3" customWidth="1"/>
    <col min="3" max="3" width="13.7109375" style="3" customWidth="1"/>
    <col min="4" max="4" width="14.7109375" style="3" customWidth="1"/>
    <col min="5" max="5" width="12.7109375" style="3" customWidth="1"/>
    <col min="6" max="6" width="13" style="3" customWidth="1"/>
    <col min="7" max="7" width="13.42578125" style="3" customWidth="1"/>
    <col min="8" max="8" width="16.42578125" style="3" customWidth="1"/>
    <col min="9" max="9" width="11.28515625" style="3" bestFit="1" customWidth="1"/>
    <col min="10" max="16384" width="9.140625" style="3"/>
  </cols>
  <sheetData>
    <row r="1" spans="1:10" ht="15" customHeight="1" x14ac:dyDescent="0.3">
      <c r="G1" s="42" t="s">
        <v>52</v>
      </c>
      <c r="H1" s="42"/>
    </row>
    <row r="2" spans="1:10" s="1" customFormat="1" ht="18.75" customHeight="1" x14ac:dyDescent="0.3">
      <c r="H2" s="2"/>
    </row>
    <row r="3" spans="1:10" s="1" customFormat="1" ht="80.25" customHeight="1" x14ac:dyDescent="0.3">
      <c r="A3" s="43" t="s">
        <v>54</v>
      </c>
      <c r="B3" s="43"/>
      <c r="C3" s="43"/>
      <c r="D3" s="43"/>
      <c r="E3" s="43"/>
      <c r="F3" s="43"/>
      <c r="G3" s="43"/>
      <c r="H3" s="43"/>
    </row>
    <row r="5" spans="1:10" ht="15" customHeight="1" x14ac:dyDescent="0.25">
      <c r="A5" s="35" t="s">
        <v>1</v>
      </c>
      <c r="B5" s="37" t="s">
        <v>2</v>
      </c>
      <c r="C5" s="37" t="s">
        <v>3</v>
      </c>
      <c r="D5" s="44" t="s">
        <v>7</v>
      </c>
      <c r="E5" s="45"/>
      <c r="F5" s="45"/>
      <c r="G5" s="45"/>
      <c r="H5" s="18"/>
    </row>
    <row r="6" spans="1:10" ht="15" customHeight="1" x14ac:dyDescent="0.25">
      <c r="A6" s="36"/>
      <c r="B6" s="37"/>
      <c r="C6" s="37"/>
      <c r="D6" s="19" t="s">
        <v>18</v>
      </c>
      <c r="E6" s="19" t="s">
        <v>19</v>
      </c>
      <c r="F6" s="19" t="s">
        <v>20</v>
      </c>
      <c r="G6" s="19" t="s">
        <v>21</v>
      </c>
      <c r="H6" s="10" t="s">
        <v>0</v>
      </c>
    </row>
    <row r="7" spans="1:10" ht="30" customHeight="1" x14ac:dyDescent="0.25">
      <c r="A7" s="5"/>
      <c r="B7" s="33" t="s">
        <v>32</v>
      </c>
      <c r="C7" s="34"/>
      <c r="D7" s="4"/>
      <c r="E7" s="4"/>
      <c r="F7" s="4"/>
      <c r="G7" s="4"/>
      <c r="H7" s="4"/>
    </row>
    <row r="8" spans="1:10" ht="69.75" customHeight="1" x14ac:dyDescent="0.25">
      <c r="A8" s="5">
        <v>1</v>
      </c>
      <c r="B8" s="17" t="s">
        <v>51</v>
      </c>
      <c r="C8" s="7" t="s">
        <v>17</v>
      </c>
      <c r="D8" s="8">
        <v>21</v>
      </c>
      <c r="E8" s="8">
        <v>23</v>
      </c>
      <c r="F8" s="8">
        <v>23</v>
      </c>
      <c r="G8" s="8">
        <v>23</v>
      </c>
      <c r="H8" s="9">
        <f t="shared" ref="H8:H17" si="0">D8+E8+F8+G8</f>
        <v>90</v>
      </c>
      <c r="I8" s="16"/>
      <c r="J8" s="16"/>
    </row>
    <row r="9" spans="1:10" ht="43.5" customHeight="1" x14ac:dyDescent="0.25">
      <c r="A9" s="10">
        <v>2</v>
      </c>
      <c r="B9" s="11" t="s">
        <v>16</v>
      </c>
      <c r="C9" s="10" t="s">
        <v>4</v>
      </c>
      <c r="D9" s="10">
        <f>ROUND(D8/18,2)</f>
        <v>1.17</v>
      </c>
      <c r="E9" s="10">
        <f t="shared" ref="E9:G9" si="1">ROUND(E8/18,2)</f>
        <v>1.28</v>
      </c>
      <c r="F9" s="10">
        <f t="shared" si="1"/>
        <v>1.28</v>
      </c>
      <c r="G9" s="10">
        <f t="shared" si="1"/>
        <v>1.28</v>
      </c>
      <c r="H9" s="12">
        <f t="shared" si="0"/>
        <v>5.0100000000000007</v>
      </c>
      <c r="I9" s="16"/>
      <c r="J9" s="16"/>
    </row>
    <row r="10" spans="1:10" ht="48.75" customHeight="1" x14ac:dyDescent="0.25">
      <c r="A10" s="5">
        <v>3</v>
      </c>
      <c r="B10" s="11" t="s">
        <v>53</v>
      </c>
      <c r="C10" s="8" t="s">
        <v>6</v>
      </c>
      <c r="D10" s="13">
        <f>ROUND(14449*D9*1.055,2)</f>
        <v>17835.12</v>
      </c>
      <c r="E10" s="13">
        <f t="shared" ref="E10:G10" si="2">ROUND(14449*E9*1.055,2)</f>
        <v>19511.93</v>
      </c>
      <c r="F10" s="13">
        <f t="shared" si="2"/>
        <v>19511.93</v>
      </c>
      <c r="G10" s="13">
        <f t="shared" si="2"/>
        <v>19511.93</v>
      </c>
      <c r="H10" s="12">
        <f t="shared" si="0"/>
        <v>76370.91</v>
      </c>
      <c r="I10" s="16"/>
      <c r="J10" s="16"/>
    </row>
    <row r="11" spans="1:10" ht="53.25" customHeight="1" x14ac:dyDescent="0.25">
      <c r="A11" s="10">
        <v>4</v>
      </c>
      <c r="B11" s="11" t="s">
        <v>27</v>
      </c>
      <c r="C11" s="10" t="s">
        <v>6</v>
      </c>
      <c r="D11" s="12">
        <f>ROUND(D10*0.25,2)</f>
        <v>4458.78</v>
      </c>
      <c r="E11" s="12">
        <f t="shared" ref="E11:G11" si="3">ROUND(E10*0.25,2)</f>
        <v>4877.9799999999996</v>
      </c>
      <c r="F11" s="12">
        <f t="shared" si="3"/>
        <v>4877.9799999999996</v>
      </c>
      <c r="G11" s="12">
        <f t="shared" si="3"/>
        <v>4877.9799999999996</v>
      </c>
      <c r="H11" s="12">
        <f t="shared" si="0"/>
        <v>19092.719999999998</v>
      </c>
      <c r="I11" s="16"/>
      <c r="J11" s="16"/>
    </row>
    <row r="12" spans="1:10" ht="51.75" customHeight="1" x14ac:dyDescent="0.25">
      <c r="A12" s="5">
        <v>5</v>
      </c>
      <c r="B12" s="11" t="s">
        <v>25</v>
      </c>
      <c r="C12" s="10" t="s">
        <v>6</v>
      </c>
      <c r="D12" s="12">
        <f>ROUND((D10)*0.2,2)</f>
        <v>3567.02</v>
      </c>
      <c r="E12" s="12">
        <f t="shared" ref="E12:G12" si="4">ROUND((E10)*0.2,2)</f>
        <v>3902.39</v>
      </c>
      <c r="F12" s="12">
        <f t="shared" si="4"/>
        <v>3902.39</v>
      </c>
      <c r="G12" s="12">
        <f t="shared" si="4"/>
        <v>3902.39</v>
      </c>
      <c r="H12" s="12">
        <f t="shared" si="0"/>
        <v>15274.189999999999</v>
      </c>
      <c r="I12" s="16"/>
      <c r="J12" s="16"/>
    </row>
    <row r="13" spans="1:10" ht="48.75" customHeight="1" x14ac:dyDescent="0.25">
      <c r="A13" s="10">
        <v>6</v>
      </c>
      <c r="B13" s="11" t="s">
        <v>26</v>
      </c>
      <c r="C13" s="10" t="s">
        <v>6</v>
      </c>
      <c r="D13" s="12">
        <f>ROUND(D10*0.2,2)</f>
        <v>3567.02</v>
      </c>
      <c r="E13" s="12">
        <f t="shared" ref="E13:G13" si="5">ROUND(E10*0.2,2)</f>
        <v>3902.39</v>
      </c>
      <c r="F13" s="12">
        <f t="shared" si="5"/>
        <v>3902.39</v>
      </c>
      <c r="G13" s="12">
        <f t="shared" si="5"/>
        <v>3902.39</v>
      </c>
      <c r="H13" s="12">
        <f t="shared" si="0"/>
        <v>15274.189999999999</v>
      </c>
      <c r="I13" s="16"/>
      <c r="J13" s="16"/>
    </row>
    <row r="14" spans="1:10" ht="45" x14ac:dyDescent="0.25">
      <c r="A14" s="5">
        <v>7</v>
      </c>
      <c r="B14" s="11" t="s">
        <v>30</v>
      </c>
      <c r="C14" s="10" t="s">
        <v>6</v>
      </c>
      <c r="D14" s="12">
        <f>ROUND((D10)*0.15,2)</f>
        <v>2675.27</v>
      </c>
      <c r="E14" s="12">
        <f t="shared" ref="E14:G14" si="6">ROUND((E10)*0.15,2)</f>
        <v>2926.79</v>
      </c>
      <c r="F14" s="12">
        <f t="shared" si="6"/>
        <v>2926.79</v>
      </c>
      <c r="G14" s="12">
        <f t="shared" si="6"/>
        <v>2926.79</v>
      </c>
      <c r="H14" s="12">
        <f t="shared" si="0"/>
        <v>11455.64</v>
      </c>
      <c r="I14" s="20"/>
      <c r="J14" s="20"/>
    </row>
    <row r="15" spans="1:10" ht="45" x14ac:dyDescent="0.25">
      <c r="A15" s="10">
        <v>8</v>
      </c>
      <c r="B15" s="11" t="s">
        <v>29</v>
      </c>
      <c r="C15" s="10" t="s">
        <v>6</v>
      </c>
      <c r="D15" s="12">
        <f>ROUND(D10*0.01,2)</f>
        <v>178.35</v>
      </c>
      <c r="E15" s="12">
        <f t="shared" ref="E15:G15" si="7">ROUND(E10*0.01,2)</f>
        <v>195.12</v>
      </c>
      <c r="F15" s="12">
        <f t="shared" si="7"/>
        <v>195.12</v>
      </c>
      <c r="G15" s="12">
        <f t="shared" si="7"/>
        <v>195.12</v>
      </c>
      <c r="H15" s="12">
        <f t="shared" si="0"/>
        <v>763.71</v>
      </c>
      <c r="I15" s="20"/>
      <c r="J15" s="20"/>
    </row>
    <row r="16" spans="1:10" ht="30" x14ac:dyDescent="0.25">
      <c r="A16" s="10">
        <v>10</v>
      </c>
      <c r="B16" s="11" t="s">
        <v>31</v>
      </c>
      <c r="C16" s="10" t="s">
        <v>6</v>
      </c>
      <c r="D16" s="10">
        <f>ROUND((D10+D11+D12+D13+D14+D15)*0.01,2)</f>
        <v>322.82</v>
      </c>
      <c r="E16" s="10">
        <f>ROUND((E10+E11+E12+E13+E14+E15)*0.01,2)</f>
        <v>353.17</v>
      </c>
      <c r="F16" s="10">
        <f>ROUND((F10+F11+F12+F13+F14+F15)*0.01,2)</f>
        <v>353.17</v>
      </c>
      <c r="G16" s="10">
        <f>ROUND((G10+G11+G12+G13+G14+G15)*0.01,2)</f>
        <v>353.17</v>
      </c>
      <c r="H16" s="12">
        <f t="shared" si="0"/>
        <v>1382.3300000000002</v>
      </c>
    </row>
    <row r="17" spans="1:9" ht="31.5" customHeight="1" x14ac:dyDescent="0.25">
      <c r="A17" s="5">
        <v>11</v>
      </c>
      <c r="B17" s="11" t="s">
        <v>11</v>
      </c>
      <c r="C17" s="10" t="s">
        <v>6</v>
      </c>
      <c r="D17" s="13">
        <f>ROUND((D10+D11+D12+D13+D14+D15+D16)*0.302,2)</f>
        <v>9846.52</v>
      </c>
      <c r="E17" s="13">
        <f t="shared" ref="E17:G17" si="8">ROUND((E10+E11+E12+E13+E14+E15+E16)*0.302,2)</f>
        <v>10772.27</v>
      </c>
      <c r="F17" s="13">
        <f t="shared" si="8"/>
        <v>10772.27</v>
      </c>
      <c r="G17" s="13">
        <f t="shared" si="8"/>
        <v>10772.27</v>
      </c>
      <c r="H17" s="12">
        <f t="shared" si="0"/>
        <v>42163.33</v>
      </c>
    </row>
    <row r="18" spans="1:9" x14ac:dyDescent="0.25">
      <c r="A18" s="10"/>
      <c r="B18" s="11" t="s">
        <v>8</v>
      </c>
      <c r="C18" s="10"/>
      <c r="D18" s="12"/>
      <c r="E18" s="12"/>
      <c r="F18" s="12"/>
      <c r="G18" s="12"/>
      <c r="H18" s="12"/>
    </row>
    <row r="19" spans="1:9" x14ac:dyDescent="0.25">
      <c r="A19" s="10"/>
      <c r="B19" s="14" t="s">
        <v>9</v>
      </c>
      <c r="C19" s="10" t="s">
        <v>6</v>
      </c>
      <c r="D19" s="12">
        <f>D10+D11+D12+D13+D14+D15+D16+D17</f>
        <v>42450.899999999994</v>
      </c>
      <c r="E19" s="12">
        <f t="shared" ref="E19:G19" si="9">E10+E11+E12+E13+E14+E15+E16+E17</f>
        <v>46442.039999999994</v>
      </c>
      <c r="F19" s="12">
        <f t="shared" si="9"/>
        <v>46442.039999999994</v>
      </c>
      <c r="G19" s="12">
        <f t="shared" si="9"/>
        <v>46442.039999999994</v>
      </c>
      <c r="H19" s="12">
        <f>D19+E19+F19+G19</f>
        <v>181777.01999999996</v>
      </c>
    </row>
    <row r="20" spans="1:9" x14ac:dyDescent="0.25">
      <c r="A20" s="15"/>
      <c r="B20" s="14" t="s">
        <v>10</v>
      </c>
      <c r="C20" s="10" t="s">
        <v>6</v>
      </c>
      <c r="D20" s="12">
        <f t="shared" ref="D20" si="10">ROUND(D19*12,2)</f>
        <v>509410.8</v>
      </c>
      <c r="E20" s="12">
        <f t="shared" ref="E20:G20" si="11">ROUND(E19*12,2)</f>
        <v>557304.48</v>
      </c>
      <c r="F20" s="12">
        <f t="shared" si="11"/>
        <v>557304.48</v>
      </c>
      <c r="G20" s="12">
        <f t="shared" si="11"/>
        <v>557304.48</v>
      </c>
      <c r="H20" s="12">
        <f>D20+E20+F20+G20</f>
        <v>2181324.2400000002</v>
      </c>
      <c r="I20" s="20"/>
    </row>
    <row r="21" spans="1:9" ht="39.75" customHeight="1" x14ac:dyDescent="0.25">
      <c r="A21" s="15"/>
      <c r="B21" s="33" t="s">
        <v>33</v>
      </c>
      <c r="C21" s="34"/>
      <c r="D21" s="12"/>
      <c r="E21" s="12"/>
      <c r="F21" s="12"/>
      <c r="G21" s="12"/>
      <c r="H21" s="12"/>
    </row>
    <row r="22" spans="1:9" ht="39" customHeight="1" x14ac:dyDescent="0.25">
      <c r="A22" s="5">
        <v>1</v>
      </c>
      <c r="B22" s="6" t="s">
        <v>22</v>
      </c>
      <c r="C22" s="7" t="s">
        <v>17</v>
      </c>
      <c r="D22" s="9">
        <v>10</v>
      </c>
      <c r="E22" s="9">
        <v>10</v>
      </c>
      <c r="F22" s="9">
        <v>10</v>
      </c>
      <c r="G22" s="9">
        <v>10</v>
      </c>
      <c r="H22" s="9">
        <f t="shared" ref="H22:H31" si="12">D22+E22+F22+G22</f>
        <v>40</v>
      </c>
    </row>
    <row r="23" spans="1:9" ht="51" customHeight="1" x14ac:dyDescent="0.25">
      <c r="A23" s="10">
        <v>2</v>
      </c>
      <c r="B23" s="11" t="s">
        <v>5</v>
      </c>
      <c r="C23" s="10" t="s">
        <v>4</v>
      </c>
      <c r="D23" s="12">
        <f t="shared" ref="D23:G23" si="13">ROUND(D22/18,2)</f>
        <v>0.56000000000000005</v>
      </c>
      <c r="E23" s="12">
        <f t="shared" si="13"/>
        <v>0.56000000000000005</v>
      </c>
      <c r="F23" s="12">
        <f t="shared" si="13"/>
        <v>0.56000000000000005</v>
      </c>
      <c r="G23" s="12">
        <f t="shared" si="13"/>
        <v>0.56000000000000005</v>
      </c>
      <c r="H23" s="12">
        <f t="shared" si="12"/>
        <v>2.2400000000000002</v>
      </c>
    </row>
    <row r="24" spans="1:9" ht="45" x14ac:dyDescent="0.25">
      <c r="A24" s="5">
        <v>3</v>
      </c>
      <c r="B24" s="11" t="s">
        <v>53</v>
      </c>
      <c r="C24" s="10" t="s">
        <v>6</v>
      </c>
      <c r="D24" s="12">
        <f>ROUND(14449*D23*1.055,2)</f>
        <v>8536.4699999999993</v>
      </c>
      <c r="E24" s="12">
        <f t="shared" ref="E24:G24" si="14">ROUND(14449*E23*1.055,2)</f>
        <v>8536.4699999999993</v>
      </c>
      <c r="F24" s="12">
        <f t="shared" si="14"/>
        <v>8536.4699999999993</v>
      </c>
      <c r="G24" s="12">
        <f t="shared" si="14"/>
        <v>8536.4699999999993</v>
      </c>
      <c r="H24" s="12">
        <f t="shared" si="12"/>
        <v>34145.879999999997</v>
      </c>
    </row>
    <row r="25" spans="1:9" ht="54" customHeight="1" x14ac:dyDescent="0.25">
      <c r="A25" s="10">
        <v>4</v>
      </c>
      <c r="B25" s="11" t="s">
        <v>24</v>
      </c>
      <c r="C25" s="10" t="s">
        <v>6</v>
      </c>
      <c r="D25" s="12">
        <f>ROUND(D24*0.25,2)</f>
        <v>2134.12</v>
      </c>
      <c r="E25" s="12">
        <f t="shared" ref="E25:G25" si="15">ROUND(E24*0.25,2)</f>
        <v>2134.12</v>
      </c>
      <c r="F25" s="12">
        <f t="shared" si="15"/>
        <v>2134.12</v>
      </c>
      <c r="G25" s="12">
        <f t="shared" si="15"/>
        <v>2134.12</v>
      </c>
      <c r="H25" s="12">
        <f t="shared" si="12"/>
        <v>8536.48</v>
      </c>
    </row>
    <row r="26" spans="1:9" ht="64.5" customHeight="1" x14ac:dyDescent="0.25">
      <c r="A26" s="5">
        <v>5</v>
      </c>
      <c r="B26" s="11" t="s">
        <v>28</v>
      </c>
      <c r="C26" s="10" t="s">
        <v>6</v>
      </c>
      <c r="D26" s="12">
        <f>ROUND((D24)*0.2,2)</f>
        <v>1707.29</v>
      </c>
      <c r="E26" s="12">
        <f t="shared" ref="E26:G26" si="16">ROUND((E24)*0.2,2)</f>
        <v>1707.29</v>
      </c>
      <c r="F26" s="12">
        <f t="shared" si="16"/>
        <v>1707.29</v>
      </c>
      <c r="G26" s="12">
        <f t="shared" si="16"/>
        <v>1707.29</v>
      </c>
      <c r="H26" s="12">
        <f t="shared" si="12"/>
        <v>6829.16</v>
      </c>
    </row>
    <row r="27" spans="1:9" ht="30" x14ac:dyDescent="0.25">
      <c r="A27" s="5">
        <v>6</v>
      </c>
      <c r="B27" s="11" t="s">
        <v>26</v>
      </c>
      <c r="C27" s="10" t="s">
        <v>6</v>
      </c>
      <c r="D27" s="12">
        <f>ROUND(D24*0.2,2)</f>
        <v>1707.29</v>
      </c>
      <c r="E27" s="12">
        <f t="shared" ref="E27:G27" si="17">ROUND(E24*0.2,2)</f>
        <v>1707.29</v>
      </c>
      <c r="F27" s="12">
        <f t="shared" si="17"/>
        <v>1707.29</v>
      </c>
      <c r="G27" s="12">
        <f t="shared" si="17"/>
        <v>1707.29</v>
      </c>
      <c r="H27" s="12">
        <f t="shared" si="12"/>
        <v>6829.16</v>
      </c>
    </row>
    <row r="28" spans="1:9" ht="45" x14ac:dyDescent="0.25">
      <c r="A28" s="10">
        <v>7</v>
      </c>
      <c r="B28" s="11" t="s">
        <v>30</v>
      </c>
      <c r="C28" s="10" t="s">
        <v>6</v>
      </c>
      <c r="D28" s="12">
        <f>ROUND((D24)*0.15,2)</f>
        <v>1280.47</v>
      </c>
      <c r="E28" s="12">
        <f t="shared" ref="E28:G28" si="18">ROUND((E24)*0.15,2)</f>
        <v>1280.47</v>
      </c>
      <c r="F28" s="12">
        <f t="shared" si="18"/>
        <v>1280.47</v>
      </c>
      <c r="G28" s="12">
        <f t="shared" si="18"/>
        <v>1280.47</v>
      </c>
      <c r="H28" s="12">
        <f t="shared" si="12"/>
        <v>5121.88</v>
      </c>
    </row>
    <row r="29" spans="1:9" ht="45" x14ac:dyDescent="0.25">
      <c r="A29" s="5">
        <v>8</v>
      </c>
      <c r="B29" s="11" t="s">
        <v>29</v>
      </c>
      <c r="C29" s="10" t="s">
        <v>6</v>
      </c>
      <c r="D29" s="12">
        <f>ROUND(D24*0.01,2)</f>
        <v>85.36</v>
      </c>
      <c r="E29" s="12">
        <f t="shared" ref="E29:G29" si="19">ROUND(E24*0.01,2)</f>
        <v>85.36</v>
      </c>
      <c r="F29" s="12">
        <f t="shared" si="19"/>
        <v>85.36</v>
      </c>
      <c r="G29" s="12">
        <f t="shared" si="19"/>
        <v>85.36</v>
      </c>
      <c r="H29" s="12">
        <f t="shared" si="12"/>
        <v>341.44</v>
      </c>
    </row>
    <row r="30" spans="1:9" ht="30" x14ac:dyDescent="0.25">
      <c r="A30" s="5">
        <v>9</v>
      </c>
      <c r="B30" s="11" t="s">
        <v>31</v>
      </c>
      <c r="C30" s="10" t="s">
        <v>6</v>
      </c>
      <c r="D30" s="12">
        <f>ROUND((D24+D25+D26+D27+D28+D29)*0.01,2)</f>
        <v>154.51</v>
      </c>
      <c r="E30" s="12">
        <f>ROUND((E24+E25+E26+E27+E28+E29)*0.01,2)</f>
        <v>154.51</v>
      </c>
      <c r="F30" s="12">
        <f>ROUND((F24+F25+F26+F27+F28+F29)*0.01,2)</f>
        <v>154.51</v>
      </c>
      <c r="G30" s="12">
        <f>ROUND((G24+G25+G26+G27+G28+G29)*0.01,2)</f>
        <v>154.51</v>
      </c>
      <c r="H30" s="12">
        <f t="shared" si="12"/>
        <v>618.04</v>
      </c>
    </row>
    <row r="31" spans="1:9" ht="30" x14ac:dyDescent="0.25">
      <c r="A31" s="10">
        <v>10</v>
      </c>
      <c r="B31" s="11" t="s">
        <v>11</v>
      </c>
      <c r="C31" s="10" t="s">
        <v>6</v>
      </c>
      <c r="D31" s="13">
        <f>ROUND((D24+D25+D26+D27+D28+D29+D30)*0.302,2)</f>
        <v>4712.8599999999997</v>
      </c>
      <c r="E31" s="13">
        <f t="shared" ref="E31:G31" si="20">ROUND((E24+E25+E26+E27+E28+E29+E30)*0.302,2)</f>
        <v>4712.8599999999997</v>
      </c>
      <c r="F31" s="13">
        <f t="shared" si="20"/>
        <v>4712.8599999999997</v>
      </c>
      <c r="G31" s="13">
        <f t="shared" si="20"/>
        <v>4712.8599999999997</v>
      </c>
      <c r="H31" s="12">
        <f t="shared" si="12"/>
        <v>18851.439999999999</v>
      </c>
    </row>
    <row r="32" spans="1:9" ht="30" x14ac:dyDescent="0.25">
      <c r="A32" s="5">
        <v>11</v>
      </c>
      <c r="B32" s="11" t="s">
        <v>23</v>
      </c>
      <c r="C32" s="10" t="s">
        <v>6</v>
      </c>
      <c r="D32" s="12"/>
      <c r="E32" s="12"/>
      <c r="F32" s="12"/>
      <c r="G32" s="12"/>
      <c r="H32" s="12"/>
    </row>
    <row r="33" spans="1:9" x14ac:dyDescent="0.25">
      <c r="A33" s="15"/>
      <c r="B33" s="14" t="s">
        <v>9</v>
      </c>
      <c r="C33" s="10" t="s">
        <v>6</v>
      </c>
      <c r="D33" s="12">
        <f>D24+D25+D26+D27+D28+D29+D30+D31</f>
        <v>20318.370000000003</v>
      </c>
      <c r="E33" s="12">
        <f t="shared" ref="E33:G33" si="21">E24+E25+E26+E27+E28+E29+E30+E31</f>
        <v>20318.370000000003</v>
      </c>
      <c r="F33" s="12">
        <f t="shared" si="21"/>
        <v>20318.370000000003</v>
      </c>
      <c r="G33" s="12">
        <f t="shared" si="21"/>
        <v>20318.370000000003</v>
      </c>
      <c r="H33" s="12">
        <f>D33+E33+F33+G33</f>
        <v>81273.48000000001</v>
      </c>
    </row>
    <row r="34" spans="1:9" x14ac:dyDescent="0.25">
      <c r="A34" s="15"/>
      <c r="B34" s="14" t="s">
        <v>10</v>
      </c>
      <c r="C34" s="10" t="s">
        <v>6</v>
      </c>
      <c r="D34" s="12">
        <f t="shared" ref="D34" si="22">ROUND(D33*12,2)</f>
        <v>243820.44</v>
      </c>
      <c r="E34" s="12">
        <f t="shared" ref="E34:G34" si="23">ROUND(E33*12,2)</f>
        <v>243820.44</v>
      </c>
      <c r="F34" s="12">
        <f t="shared" si="23"/>
        <v>243820.44</v>
      </c>
      <c r="G34" s="12">
        <f t="shared" si="23"/>
        <v>243820.44</v>
      </c>
      <c r="H34" s="12">
        <f>D34+E34+F34+G34</f>
        <v>975281.76</v>
      </c>
    </row>
    <row r="35" spans="1:9" ht="19.5" customHeight="1" x14ac:dyDescent="0.25">
      <c r="A35" s="15"/>
      <c r="B35" s="38" t="s">
        <v>12</v>
      </c>
      <c r="C35" s="39"/>
      <c r="D35" s="15"/>
      <c r="E35" s="15"/>
      <c r="F35" s="15"/>
      <c r="G35" s="15"/>
      <c r="H35" s="15"/>
    </row>
    <row r="36" spans="1:9" x14ac:dyDescent="0.25">
      <c r="A36" s="15"/>
      <c r="B36" s="11" t="s">
        <v>58</v>
      </c>
      <c r="C36" s="10" t="s">
        <v>6</v>
      </c>
      <c r="D36" s="12">
        <f>ROUND((D20+D34)*0.192,2)</f>
        <v>144620.4</v>
      </c>
      <c r="E36" s="12">
        <f t="shared" ref="E36:G36" si="24">ROUND((E20+E34)*0.192,2)</f>
        <v>153815.98000000001</v>
      </c>
      <c r="F36" s="12">
        <f t="shared" si="24"/>
        <v>153815.98000000001</v>
      </c>
      <c r="G36" s="12">
        <f t="shared" si="24"/>
        <v>153815.98000000001</v>
      </c>
      <c r="H36" s="12">
        <f>D36+E36+F36+G36</f>
        <v>606068.34</v>
      </c>
    </row>
    <row r="37" spans="1:9" ht="66" customHeight="1" x14ac:dyDescent="0.25">
      <c r="A37" s="15"/>
      <c r="B37" s="40" t="s">
        <v>14</v>
      </c>
      <c r="C37" s="41"/>
      <c r="D37" s="12"/>
      <c r="E37" s="12"/>
      <c r="F37" s="12"/>
      <c r="G37" s="12"/>
      <c r="H37" s="12"/>
    </row>
    <row r="38" spans="1:9" ht="25.5" customHeight="1" x14ac:dyDescent="0.25">
      <c r="A38" s="15"/>
      <c r="B38" s="11" t="s">
        <v>59</v>
      </c>
      <c r="C38" s="10" t="s">
        <v>6</v>
      </c>
      <c r="D38" s="12">
        <f>ROUND(0.24*(D20+D34),2)</f>
        <v>180775.5</v>
      </c>
      <c r="E38" s="12">
        <f t="shared" ref="E38:G38" si="25">ROUND(0.24*(E20+E34),2)</f>
        <v>192269.98</v>
      </c>
      <c r="F38" s="12">
        <f t="shared" si="25"/>
        <v>192269.98</v>
      </c>
      <c r="G38" s="12">
        <f t="shared" si="25"/>
        <v>192269.98</v>
      </c>
      <c r="H38" s="12">
        <f>D38+E38+F38+G38</f>
        <v>757585.44</v>
      </c>
    </row>
    <row r="39" spans="1:9" ht="66.75" customHeight="1" x14ac:dyDescent="0.25">
      <c r="A39" s="15"/>
      <c r="B39" s="40" t="s">
        <v>13</v>
      </c>
      <c r="C39" s="41"/>
      <c r="D39" s="15"/>
      <c r="E39" s="15"/>
      <c r="F39" s="15"/>
      <c r="G39" s="15"/>
      <c r="H39" s="15"/>
    </row>
    <row r="40" spans="1:9" ht="30.75" customHeight="1" x14ac:dyDescent="0.25">
      <c r="A40" s="15"/>
      <c r="B40" s="11" t="s">
        <v>60</v>
      </c>
      <c r="C40" s="10" t="s">
        <v>6</v>
      </c>
      <c r="D40" s="12">
        <f>ROUND((0.227*(D20+D34)),2)</f>
        <v>170983.49</v>
      </c>
      <c r="E40" s="12">
        <f t="shared" ref="E40:G40" si="26">ROUND((0.227*(E20+E34)),2)</f>
        <v>181855.35999999999</v>
      </c>
      <c r="F40" s="12">
        <f t="shared" si="26"/>
        <v>181855.35999999999</v>
      </c>
      <c r="G40" s="12">
        <f t="shared" si="26"/>
        <v>181855.35999999999</v>
      </c>
      <c r="H40" s="12">
        <f>D40+E40+F40+G40</f>
        <v>716549.57</v>
      </c>
    </row>
    <row r="41" spans="1:9" ht="68.25" customHeight="1" x14ac:dyDescent="0.25">
      <c r="A41" s="15"/>
      <c r="B41" s="40" t="s">
        <v>15</v>
      </c>
      <c r="C41" s="41"/>
      <c r="D41" s="15"/>
      <c r="E41" s="15"/>
      <c r="F41" s="15"/>
      <c r="G41" s="15"/>
      <c r="H41" s="15"/>
    </row>
    <row r="42" spans="1:9" ht="15.75" x14ac:dyDescent="0.25">
      <c r="A42" s="15"/>
      <c r="B42" s="21"/>
      <c r="C42" s="10" t="s">
        <v>6</v>
      </c>
      <c r="D42" s="12">
        <f>D20+D36+D38+D40+D34</f>
        <v>1249610.6299999999</v>
      </c>
      <c r="E42" s="12">
        <f>E20+E36+E38+E40+E34</f>
        <v>1329066.2399999998</v>
      </c>
      <c r="F42" s="12">
        <f>F20+F36+F38+F40+F34</f>
        <v>1329066.2399999998</v>
      </c>
      <c r="G42" s="12">
        <f>G20+G36+G38+G40+G34</f>
        <v>1329066.2399999998</v>
      </c>
      <c r="H42" s="12">
        <f>D42+E42+F42+G42</f>
        <v>5236809.3499999996</v>
      </c>
    </row>
    <row r="43" spans="1:9" ht="20.25" customHeight="1" x14ac:dyDescent="0.25">
      <c r="A43" s="15"/>
      <c r="B43" s="22" t="s">
        <v>50</v>
      </c>
      <c r="C43" s="23" t="s">
        <v>47</v>
      </c>
      <c r="D43" s="9">
        <v>25</v>
      </c>
      <c r="E43" s="9">
        <v>25</v>
      </c>
      <c r="F43" s="9">
        <v>25</v>
      </c>
      <c r="G43" s="9">
        <v>25</v>
      </c>
      <c r="H43" s="9">
        <v>25</v>
      </c>
    </row>
    <row r="44" spans="1:9" ht="108" customHeight="1" x14ac:dyDescent="0.25">
      <c r="A44" s="15"/>
      <c r="B44" s="22" t="s">
        <v>34</v>
      </c>
      <c r="C44" s="23" t="s">
        <v>6</v>
      </c>
      <c r="D44" s="9"/>
      <c r="E44" s="9"/>
      <c r="F44" s="9"/>
      <c r="G44" s="9"/>
      <c r="H44" s="9">
        <f>ROUND(H42/H43/4,0)</f>
        <v>52368</v>
      </c>
    </row>
    <row r="45" spans="1:9" ht="97.5" customHeight="1" x14ac:dyDescent="0.25">
      <c r="A45" s="15"/>
      <c r="B45" s="22" t="s">
        <v>45</v>
      </c>
      <c r="C45" s="23" t="s">
        <v>6</v>
      </c>
      <c r="D45" s="12"/>
      <c r="E45" s="12"/>
      <c r="F45" s="12"/>
      <c r="G45" s="12"/>
      <c r="H45" s="9">
        <v>46582</v>
      </c>
    </row>
    <row r="46" spans="1:9" ht="121.5" customHeight="1" x14ac:dyDescent="0.25">
      <c r="A46" s="15"/>
      <c r="B46" s="24" t="s">
        <v>43</v>
      </c>
      <c r="C46" s="30" t="s">
        <v>46</v>
      </c>
      <c r="D46" s="12"/>
      <c r="E46" s="12"/>
      <c r="F46" s="12"/>
      <c r="G46" s="12"/>
      <c r="H46" s="26">
        <f>ROUND(H44/H45,3)</f>
        <v>1.1240000000000001</v>
      </c>
    </row>
    <row r="47" spans="1:9" ht="153" customHeight="1" x14ac:dyDescent="0.25">
      <c r="A47" s="28"/>
      <c r="B47" s="46"/>
      <c r="C47" s="46"/>
      <c r="D47" s="27"/>
      <c r="E47" s="27"/>
      <c r="F47" s="27"/>
      <c r="G47" s="27"/>
      <c r="H47" s="27"/>
      <c r="I47" s="28"/>
    </row>
    <row r="48" spans="1:9" ht="53.25" customHeight="1" x14ac:dyDescent="0.25">
      <c r="A48" s="28"/>
      <c r="B48" s="46"/>
      <c r="C48" s="46"/>
      <c r="D48" s="29"/>
      <c r="E48" s="29"/>
      <c r="F48" s="29"/>
      <c r="G48" s="29"/>
      <c r="H48" s="27"/>
      <c r="I48" s="28"/>
    </row>
    <row r="49" spans="1:9" ht="15" customHeight="1" x14ac:dyDescent="0.25">
      <c r="A49" s="28"/>
      <c r="B49" s="28"/>
      <c r="C49" s="28"/>
      <c r="D49" s="27"/>
      <c r="E49" s="27"/>
      <c r="F49" s="27"/>
      <c r="G49" s="27"/>
      <c r="H49" s="27"/>
      <c r="I49" s="28"/>
    </row>
    <row r="50" spans="1:9" ht="15" customHeight="1" x14ac:dyDescent="0.25">
      <c r="A50" s="28"/>
      <c r="D50" s="27"/>
      <c r="E50" s="27"/>
      <c r="F50" s="27"/>
      <c r="G50" s="27"/>
      <c r="H50" s="27"/>
      <c r="I50" s="28"/>
    </row>
  </sheetData>
  <mergeCells count="14">
    <mergeCell ref="G1:H1"/>
    <mergeCell ref="A3:H3"/>
    <mergeCell ref="B7:C7"/>
    <mergeCell ref="B48:C48"/>
    <mergeCell ref="B47:C47"/>
    <mergeCell ref="C5:C6"/>
    <mergeCell ref="D5:G5"/>
    <mergeCell ref="B21:C21"/>
    <mergeCell ref="B35:C35"/>
    <mergeCell ref="B37:C37"/>
    <mergeCell ref="B39:C39"/>
    <mergeCell ref="B41:C41"/>
    <mergeCell ref="A5:A6"/>
    <mergeCell ref="B5:B6"/>
  </mergeCells>
  <printOptions horizontalCentered="1"/>
  <pageMargins left="0" right="0" top="0.55118110236220474" bottom="0.15748031496062992" header="0" footer="0"/>
  <pageSetup paperSize="9" scale="60" orientation="portrait" r:id="rId1"/>
  <rowBreaks count="1" manualBreakCount="1">
    <brk id="3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view="pageBreakPreview" zoomScale="78" zoomScaleNormal="77" zoomScaleSheetLayoutView="78" workbookViewId="0">
      <pane xSplit="3" ySplit="6" topLeftCell="D44" activePane="bottomRight" state="frozen"/>
      <selection pane="topRight" activeCell="D1" sqref="D1"/>
      <selection pane="bottomLeft" activeCell="A5" sqref="A5"/>
      <selection pane="bottomRight" activeCell="H45" sqref="H45"/>
    </sheetView>
  </sheetViews>
  <sheetFormatPr defaultRowHeight="15" x14ac:dyDescent="0.25"/>
  <cols>
    <col min="1" max="1" width="7.140625" style="3" customWidth="1"/>
    <col min="2" max="2" width="44.5703125" style="3" customWidth="1"/>
    <col min="3" max="3" width="13.7109375" style="3" customWidth="1"/>
    <col min="4" max="4" width="14.7109375" style="3" customWidth="1"/>
    <col min="5" max="5" width="12.7109375" style="3" customWidth="1"/>
    <col min="6" max="6" width="13" style="3" customWidth="1"/>
    <col min="7" max="7" width="13.42578125" style="3" customWidth="1"/>
    <col min="8" max="8" width="16.42578125" style="3" customWidth="1"/>
    <col min="9" max="9" width="11.28515625" style="3" bestFit="1" customWidth="1"/>
    <col min="10" max="16384" width="9.140625" style="3"/>
  </cols>
  <sheetData>
    <row r="1" spans="1:10" ht="18.75" x14ac:dyDescent="0.3">
      <c r="G1" s="42" t="s">
        <v>61</v>
      </c>
      <c r="H1" s="42"/>
    </row>
    <row r="2" spans="1:10" ht="18.75" x14ac:dyDescent="0.3">
      <c r="G2" s="31"/>
      <c r="H2" s="31"/>
    </row>
    <row r="3" spans="1:10" s="1" customFormat="1" ht="93" customHeight="1" x14ac:dyDescent="0.3">
      <c r="A3" s="43" t="s">
        <v>55</v>
      </c>
      <c r="B3" s="43"/>
      <c r="C3" s="43"/>
      <c r="D3" s="43"/>
      <c r="E3" s="43"/>
      <c r="F3" s="43"/>
      <c r="G3" s="43"/>
      <c r="H3" s="43"/>
    </row>
    <row r="5" spans="1:10" ht="15" customHeight="1" x14ac:dyDescent="0.25">
      <c r="A5" s="35" t="s">
        <v>1</v>
      </c>
      <c r="B5" s="37" t="s">
        <v>2</v>
      </c>
      <c r="C5" s="37" t="s">
        <v>3</v>
      </c>
      <c r="D5" s="44" t="s">
        <v>7</v>
      </c>
      <c r="E5" s="45"/>
      <c r="F5" s="45"/>
      <c r="G5" s="45"/>
      <c r="H5" s="18"/>
    </row>
    <row r="6" spans="1:10" ht="15" customHeight="1" x14ac:dyDescent="0.25">
      <c r="A6" s="36"/>
      <c r="B6" s="37"/>
      <c r="C6" s="37"/>
      <c r="D6" s="19" t="s">
        <v>18</v>
      </c>
      <c r="E6" s="19" t="s">
        <v>19</v>
      </c>
      <c r="F6" s="19" t="s">
        <v>20</v>
      </c>
      <c r="G6" s="19" t="s">
        <v>21</v>
      </c>
      <c r="H6" s="10" t="s">
        <v>0</v>
      </c>
    </row>
    <row r="7" spans="1:10" ht="30" customHeight="1" x14ac:dyDescent="0.25">
      <c r="A7" s="5"/>
      <c r="B7" s="33" t="s">
        <v>32</v>
      </c>
      <c r="C7" s="34"/>
      <c r="D7" s="4"/>
      <c r="E7" s="4"/>
      <c r="F7" s="4"/>
      <c r="G7" s="4"/>
      <c r="H7" s="4"/>
    </row>
    <row r="8" spans="1:10" ht="72" customHeight="1" x14ac:dyDescent="0.25">
      <c r="A8" s="5">
        <v>1</v>
      </c>
      <c r="B8" s="17" t="s">
        <v>51</v>
      </c>
      <c r="C8" s="7" t="s">
        <v>17</v>
      </c>
      <c r="D8" s="8">
        <v>21</v>
      </c>
      <c r="E8" s="8">
        <v>23</v>
      </c>
      <c r="F8" s="8">
        <v>23</v>
      </c>
      <c r="G8" s="8">
        <v>23</v>
      </c>
      <c r="H8" s="9">
        <f t="shared" ref="H8:H17" si="0">D8+E8+F8+G8</f>
        <v>90</v>
      </c>
      <c r="I8" s="16"/>
      <c r="J8" s="16"/>
    </row>
    <row r="9" spans="1:10" ht="43.5" customHeight="1" x14ac:dyDescent="0.25">
      <c r="A9" s="10">
        <v>2</v>
      </c>
      <c r="B9" s="11" t="s">
        <v>16</v>
      </c>
      <c r="C9" s="10" t="s">
        <v>4</v>
      </c>
      <c r="D9" s="10">
        <f>ROUND(D8/18,2)</f>
        <v>1.17</v>
      </c>
      <c r="E9" s="10">
        <f t="shared" ref="E9:G9" si="1">ROUND(E8/18,2)</f>
        <v>1.28</v>
      </c>
      <c r="F9" s="10">
        <f t="shared" si="1"/>
        <v>1.28</v>
      </c>
      <c r="G9" s="10">
        <f t="shared" si="1"/>
        <v>1.28</v>
      </c>
      <c r="H9" s="12">
        <f t="shared" si="0"/>
        <v>5.0100000000000007</v>
      </c>
      <c r="I9" s="16"/>
      <c r="J9" s="16"/>
    </row>
    <row r="10" spans="1:10" ht="80.25" customHeight="1" x14ac:dyDescent="0.25">
      <c r="A10" s="5">
        <v>3</v>
      </c>
      <c r="B10" s="11" t="s">
        <v>53</v>
      </c>
      <c r="C10" s="8" t="s">
        <v>6</v>
      </c>
      <c r="D10" s="13">
        <f>ROUND(14449*D9*1.055,2)</f>
        <v>17835.12</v>
      </c>
      <c r="E10" s="13">
        <f t="shared" ref="E10:G10" si="2">ROUND(14449*E9*1.055,2)</f>
        <v>19511.93</v>
      </c>
      <c r="F10" s="13">
        <f t="shared" si="2"/>
        <v>19511.93</v>
      </c>
      <c r="G10" s="13">
        <f t="shared" si="2"/>
        <v>19511.93</v>
      </c>
      <c r="H10" s="12">
        <f t="shared" si="0"/>
        <v>76370.91</v>
      </c>
      <c r="I10" s="16"/>
      <c r="J10" s="16"/>
    </row>
    <row r="11" spans="1:10" ht="53.25" customHeight="1" x14ac:dyDescent="0.25">
      <c r="A11" s="10">
        <v>4</v>
      </c>
      <c r="B11" s="11" t="s">
        <v>27</v>
      </c>
      <c r="C11" s="10" t="s">
        <v>6</v>
      </c>
      <c r="D11" s="12">
        <f>ROUND(D10*0.25,2)</f>
        <v>4458.78</v>
      </c>
      <c r="E11" s="12">
        <f t="shared" ref="E11:G11" si="3">ROUND(E10*0.25,2)</f>
        <v>4877.9799999999996</v>
      </c>
      <c r="F11" s="12">
        <f t="shared" si="3"/>
        <v>4877.9799999999996</v>
      </c>
      <c r="G11" s="12">
        <f t="shared" si="3"/>
        <v>4877.9799999999996</v>
      </c>
      <c r="H11" s="12">
        <f t="shared" si="0"/>
        <v>19092.719999999998</v>
      </c>
      <c r="I11" s="16"/>
      <c r="J11" s="16"/>
    </row>
    <row r="12" spans="1:10" ht="51.75" customHeight="1" x14ac:dyDescent="0.25">
      <c r="A12" s="5">
        <v>5</v>
      </c>
      <c r="B12" s="11" t="s">
        <v>25</v>
      </c>
      <c r="C12" s="10" t="s">
        <v>6</v>
      </c>
      <c r="D12" s="12">
        <f>ROUND((D10)*0.2,2)</f>
        <v>3567.02</v>
      </c>
      <c r="E12" s="12">
        <f t="shared" ref="E12:G12" si="4">ROUND((E10)*0.2,2)</f>
        <v>3902.39</v>
      </c>
      <c r="F12" s="12">
        <f t="shared" si="4"/>
        <v>3902.39</v>
      </c>
      <c r="G12" s="12">
        <f t="shared" si="4"/>
        <v>3902.39</v>
      </c>
      <c r="H12" s="12">
        <f t="shared" si="0"/>
        <v>15274.189999999999</v>
      </c>
      <c r="I12" s="16"/>
      <c r="J12" s="16"/>
    </row>
    <row r="13" spans="1:10" ht="72.75" customHeight="1" x14ac:dyDescent="0.25">
      <c r="A13" s="10">
        <v>6</v>
      </c>
      <c r="B13" s="11" t="s">
        <v>35</v>
      </c>
      <c r="C13" s="10" t="s">
        <v>6</v>
      </c>
      <c r="D13" s="12">
        <f>ROUND(D10*0.15,2)</f>
        <v>2675.27</v>
      </c>
      <c r="E13" s="12">
        <f t="shared" ref="E13:G13" si="5">ROUND(E10*0.15,2)</f>
        <v>2926.79</v>
      </c>
      <c r="F13" s="12">
        <f t="shared" si="5"/>
        <v>2926.79</v>
      </c>
      <c r="G13" s="12">
        <f t="shared" si="5"/>
        <v>2926.79</v>
      </c>
      <c r="H13" s="12">
        <f t="shared" si="0"/>
        <v>11455.64</v>
      </c>
      <c r="I13" s="16"/>
      <c r="J13" s="16"/>
    </row>
    <row r="14" spans="1:10" ht="45" x14ac:dyDescent="0.25">
      <c r="A14" s="5">
        <v>7</v>
      </c>
      <c r="B14" s="11" t="s">
        <v>30</v>
      </c>
      <c r="C14" s="10" t="s">
        <v>6</v>
      </c>
      <c r="D14" s="12">
        <f>ROUND((D10)*0.15,2)</f>
        <v>2675.27</v>
      </c>
      <c r="E14" s="12">
        <f t="shared" ref="E14:G14" si="6">ROUND((E10)*0.15,2)</f>
        <v>2926.79</v>
      </c>
      <c r="F14" s="12">
        <f t="shared" si="6"/>
        <v>2926.79</v>
      </c>
      <c r="G14" s="12">
        <f t="shared" si="6"/>
        <v>2926.79</v>
      </c>
      <c r="H14" s="12">
        <f t="shared" si="0"/>
        <v>11455.64</v>
      </c>
      <c r="I14" s="20"/>
      <c r="J14" s="20"/>
    </row>
    <row r="15" spans="1:10" ht="45" x14ac:dyDescent="0.25">
      <c r="A15" s="10">
        <v>8</v>
      </c>
      <c r="B15" s="11" t="s">
        <v>29</v>
      </c>
      <c r="C15" s="10" t="s">
        <v>6</v>
      </c>
      <c r="D15" s="12">
        <f>ROUND(D10*0.01,2)</f>
        <v>178.35</v>
      </c>
      <c r="E15" s="12">
        <f t="shared" ref="E15:G15" si="7">ROUND(E10*0.01,2)</f>
        <v>195.12</v>
      </c>
      <c r="F15" s="12">
        <f t="shared" si="7"/>
        <v>195.12</v>
      </c>
      <c r="G15" s="12">
        <f t="shared" si="7"/>
        <v>195.12</v>
      </c>
      <c r="H15" s="12">
        <f t="shared" si="0"/>
        <v>763.71</v>
      </c>
      <c r="I15" s="20"/>
      <c r="J15" s="20"/>
    </row>
    <row r="16" spans="1:10" ht="30" x14ac:dyDescent="0.25">
      <c r="A16" s="10">
        <v>10</v>
      </c>
      <c r="B16" s="11" t="s">
        <v>31</v>
      </c>
      <c r="C16" s="10" t="s">
        <v>6</v>
      </c>
      <c r="D16" s="10">
        <f>ROUND((D10+D11+D12+D13+D14+D15)*0.01,2)</f>
        <v>313.89999999999998</v>
      </c>
      <c r="E16" s="10">
        <f>ROUND((E10+E11+E12+E13+E14+E15)*0.01,2)</f>
        <v>343.41</v>
      </c>
      <c r="F16" s="10">
        <f>ROUND((F10+F11+F12+F13+F14+F15)*0.01,2)</f>
        <v>343.41</v>
      </c>
      <c r="G16" s="10">
        <f>ROUND((G10+G11+G12+G13+G14+G15)*0.01,2)</f>
        <v>343.41</v>
      </c>
      <c r="H16" s="12">
        <f t="shared" si="0"/>
        <v>1344.13</v>
      </c>
    </row>
    <row r="17" spans="1:9" ht="31.5" customHeight="1" x14ac:dyDescent="0.25">
      <c r="A17" s="5">
        <v>11</v>
      </c>
      <c r="B17" s="11" t="s">
        <v>11</v>
      </c>
      <c r="C17" s="10" t="s">
        <v>6</v>
      </c>
      <c r="D17" s="13">
        <f>ROUND((D10+D11+D12+D13+D14+D15+D16)*0.302,2)</f>
        <v>9574.52</v>
      </c>
      <c r="E17" s="13">
        <f t="shared" ref="E17:G17" si="8">ROUND((E10+E11+E12+E13+E14+E15+E16)*0.302,2)</f>
        <v>10474.69</v>
      </c>
      <c r="F17" s="13">
        <f t="shared" si="8"/>
        <v>10474.69</v>
      </c>
      <c r="G17" s="13">
        <f t="shared" si="8"/>
        <v>10474.69</v>
      </c>
      <c r="H17" s="12">
        <f t="shared" si="0"/>
        <v>40998.590000000004</v>
      </c>
    </row>
    <row r="18" spans="1:9" x14ac:dyDescent="0.25">
      <c r="A18" s="10">
        <v>12</v>
      </c>
      <c r="B18" s="11" t="s">
        <v>8</v>
      </c>
      <c r="C18" s="10"/>
      <c r="D18" s="12"/>
      <c r="E18" s="12"/>
      <c r="F18" s="12"/>
      <c r="G18" s="12"/>
      <c r="H18" s="12"/>
    </row>
    <row r="19" spans="1:9" x14ac:dyDescent="0.25">
      <c r="A19" s="10"/>
      <c r="B19" s="14" t="s">
        <v>9</v>
      </c>
      <c r="C19" s="10" t="s">
        <v>6</v>
      </c>
      <c r="D19" s="12">
        <f>D10+D11+D12+D13+D14+D15+D16+D17</f>
        <v>41278.229999999996</v>
      </c>
      <c r="E19" s="12">
        <f t="shared" ref="E19:G19" si="9">E10+E11+E12+E13+E14+E15+E16+E17</f>
        <v>45159.100000000006</v>
      </c>
      <c r="F19" s="12">
        <f t="shared" si="9"/>
        <v>45159.100000000006</v>
      </c>
      <c r="G19" s="12">
        <f t="shared" si="9"/>
        <v>45159.100000000006</v>
      </c>
      <c r="H19" s="12">
        <f>D19+E19+F19+G19</f>
        <v>176755.53</v>
      </c>
    </row>
    <row r="20" spans="1:9" x14ac:dyDescent="0.25">
      <c r="A20" s="15"/>
      <c r="B20" s="14" t="s">
        <v>10</v>
      </c>
      <c r="C20" s="10" t="s">
        <v>6</v>
      </c>
      <c r="D20" s="12">
        <f t="shared" ref="D20:G20" si="10">ROUND(D19*12,2)</f>
        <v>495338.76</v>
      </c>
      <c r="E20" s="12">
        <f t="shared" si="10"/>
        <v>541909.19999999995</v>
      </c>
      <c r="F20" s="12">
        <f t="shared" si="10"/>
        <v>541909.19999999995</v>
      </c>
      <c r="G20" s="12">
        <f t="shared" si="10"/>
        <v>541909.19999999995</v>
      </c>
      <c r="H20" s="12">
        <f>D20+E20+F20+G20</f>
        <v>2121066.36</v>
      </c>
      <c r="I20" s="20"/>
    </row>
    <row r="21" spans="1:9" ht="39.75" customHeight="1" x14ac:dyDescent="0.25">
      <c r="A21" s="15"/>
      <c r="B21" s="33" t="s">
        <v>33</v>
      </c>
      <c r="C21" s="34"/>
      <c r="D21" s="12"/>
      <c r="E21" s="12"/>
      <c r="F21" s="12"/>
      <c r="G21" s="12"/>
      <c r="H21" s="12"/>
    </row>
    <row r="22" spans="1:9" ht="39" customHeight="1" x14ac:dyDescent="0.25">
      <c r="A22" s="5">
        <v>1</v>
      </c>
      <c r="B22" s="6" t="s">
        <v>22</v>
      </c>
      <c r="C22" s="7" t="s">
        <v>17</v>
      </c>
      <c r="D22" s="9">
        <v>10</v>
      </c>
      <c r="E22" s="9">
        <v>10</v>
      </c>
      <c r="F22" s="9">
        <v>10</v>
      </c>
      <c r="G22" s="9">
        <v>10</v>
      </c>
      <c r="H22" s="9">
        <f t="shared" ref="H22:H30" si="11">D22+E22+F22+G22</f>
        <v>40</v>
      </c>
    </row>
    <row r="23" spans="1:9" ht="51" customHeight="1" x14ac:dyDescent="0.25">
      <c r="A23" s="10">
        <v>2</v>
      </c>
      <c r="B23" s="11" t="s">
        <v>5</v>
      </c>
      <c r="C23" s="10" t="s">
        <v>4</v>
      </c>
      <c r="D23" s="12">
        <f t="shared" ref="D23:G23" si="12">ROUND(D22/18,2)</f>
        <v>0.56000000000000005</v>
      </c>
      <c r="E23" s="12">
        <f t="shared" si="12"/>
        <v>0.56000000000000005</v>
      </c>
      <c r="F23" s="12">
        <f t="shared" si="12"/>
        <v>0.56000000000000005</v>
      </c>
      <c r="G23" s="12">
        <f t="shared" si="12"/>
        <v>0.56000000000000005</v>
      </c>
      <c r="H23" s="12">
        <f t="shared" si="11"/>
        <v>2.2400000000000002</v>
      </c>
    </row>
    <row r="24" spans="1:9" ht="45" x14ac:dyDescent="0.25">
      <c r="A24" s="5">
        <v>3</v>
      </c>
      <c r="B24" s="11" t="s">
        <v>53</v>
      </c>
      <c r="C24" s="10" t="s">
        <v>6</v>
      </c>
      <c r="D24" s="12">
        <f>ROUND(14449*D23*1.055,2)</f>
        <v>8536.4699999999993</v>
      </c>
      <c r="E24" s="12">
        <f t="shared" ref="E24:G24" si="13">ROUND(14449*E23*1.055,2)</f>
        <v>8536.4699999999993</v>
      </c>
      <c r="F24" s="12">
        <f t="shared" si="13"/>
        <v>8536.4699999999993</v>
      </c>
      <c r="G24" s="12">
        <f t="shared" si="13"/>
        <v>8536.4699999999993</v>
      </c>
      <c r="H24" s="12">
        <f t="shared" si="11"/>
        <v>34145.879999999997</v>
      </c>
    </row>
    <row r="25" spans="1:9" ht="54" customHeight="1" x14ac:dyDescent="0.25">
      <c r="A25" s="10">
        <v>4</v>
      </c>
      <c r="B25" s="11" t="s">
        <v>24</v>
      </c>
      <c r="C25" s="10" t="s">
        <v>6</v>
      </c>
      <c r="D25" s="12">
        <f>ROUND(D24*0.25,2)</f>
        <v>2134.12</v>
      </c>
      <c r="E25" s="12">
        <f t="shared" ref="E25:G25" si="14">ROUND(E24*0.25,2)</f>
        <v>2134.12</v>
      </c>
      <c r="F25" s="12">
        <f t="shared" si="14"/>
        <v>2134.12</v>
      </c>
      <c r="G25" s="12">
        <f t="shared" si="14"/>
        <v>2134.12</v>
      </c>
      <c r="H25" s="12">
        <f t="shared" si="11"/>
        <v>8536.48</v>
      </c>
    </row>
    <row r="26" spans="1:9" ht="64.5" customHeight="1" x14ac:dyDescent="0.25">
      <c r="A26" s="5">
        <v>5</v>
      </c>
      <c r="B26" s="11" t="s">
        <v>28</v>
      </c>
      <c r="C26" s="10" t="s">
        <v>6</v>
      </c>
      <c r="D26" s="12">
        <f>ROUND((D24)*0.2,2)</f>
        <v>1707.29</v>
      </c>
      <c r="E26" s="12">
        <f t="shared" ref="E26:G26" si="15">ROUND((E24)*0.2,2)</f>
        <v>1707.29</v>
      </c>
      <c r="F26" s="12">
        <f t="shared" si="15"/>
        <v>1707.29</v>
      </c>
      <c r="G26" s="12">
        <f t="shared" si="15"/>
        <v>1707.29</v>
      </c>
      <c r="H26" s="12">
        <f t="shared" si="11"/>
        <v>6829.16</v>
      </c>
    </row>
    <row r="27" spans="1:9" ht="45" x14ac:dyDescent="0.25">
      <c r="A27" s="10">
        <v>6</v>
      </c>
      <c r="B27" s="11" t="s">
        <v>30</v>
      </c>
      <c r="C27" s="10" t="s">
        <v>6</v>
      </c>
      <c r="D27" s="12">
        <f>ROUND((D24)*0.15,2)</f>
        <v>1280.47</v>
      </c>
      <c r="E27" s="12">
        <f>ROUND((E24)*0.15,2)</f>
        <v>1280.47</v>
      </c>
      <c r="F27" s="12">
        <f>ROUND((F24)*0.15,2)</f>
        <v>1280.47</v>
      </c>
      <c r="G27" s="12">
        <f>ROUND((G24)*0.15,2)</f>
        <v>1280.47</v>
      </c>
      <c r="H27" s="12">
        <f t="shared" si="11"/>
        <v>5121.88</v>
      </c>
    </row>
    <row r="28" spans="1:9" ht="45" x14ac:dyDescent="0.25">
      <c r="A28" s="5">
        <v>7</v>
      </c>
      <c r="B28" s="11" t="s">
        <v>29</v>
      </c>
      <c r="C28" s="10" t="s">
        <v>6</v>
      </c>
      <c r="D28" s="12">
        <f>ROUND(D24*0.01,2)</f>
        <v>85.36</v>
      </c>
      <c r="E28" s="12">
        <f>ROUND(E24*0.01,2)</f>
        <v>85.36</v>
      </c>
      <c r="F28" s="12">
        <f>ROUND(F24*0.01,2)</f>
        <v>85.36</v>
      </c>
      <c r="G28" s="12">
        <f>ROUND(G24*0.01,2)</f>
        <v>85.36</v>
      </c>
      <c r="H28" s="12">
        <f t="shared" si="11"/>
        <v>341.44</v>
      </c>
    </row>
    <row r="29" spans="1:9" ht="30" x14ac:dyDescent="0.25">
      <c r="A29" s="5">
        <v>8</v>
      </c>
      <c r="B29" s="11" t="s">
        <v>31</v>
      </c>
      <c r="C29" s="10" t="s">
        <v>6</v>
      </c>
      <c r="D29" s="12">
        <f>ROUND((D24+D25+D26+D27+D28)*0.01,2)</f>
        <v>137.44</v>
      </c>
      <c r="E29" s="12">
        <f>ROUND((E24+E25+E26+E27+E28)*0.01,2)</f>
        <v>137.44</v>
      </c>
      <c r="F29" s="12">
        <f>ROUND((F24+F25+F26+F27+F28)*0.01,2)</f>
        <v>137.44</v>
      </c>
      <c r="G29" s="12">
        <f>ROUND((G24+G25+G26+G27+G28)*0.01,2)</f>
        <v>137.44</v>
      </c>
      <c r="H29" s="12">
        <f t="shared" si="11"/>
        <v>549.76</v>
      </c>
    </row>
    <row r="30" spans="1:9" x14ac:dyDescent="0.25">
      <c r="A30" s="10">
        <v>9</v>
      </c>
      <c r="B30" s="11" t="s">
        <v>11</v>
      </c>
      <c r="C30" s="10" t="s">
        <v>6</v>
      </c>
      <c r="D30" s="13">
        <f>ROUND((D24+D25+D26+D27+D28+D29)*0.302,2)</f>
        <v>4192.1099999999997</v>
      </c>
      <c r="E30" s="13">
        <f t="shared" ref="E30:G30" si="16">ROUND((E24+E25+E26+E27+E28+E29)*0.302,2)</f>
        <v>4192.1099999999997</v>
      </c>
      <c r="F30" s="13">
        <f t="shared" si="16"/>
        <v>4192.1099999999997</v>
      </c>
      <c r="G30" s="13">
        <f t="shared" si="16"/>
        <v>4192.1099999999997</v>
      </c>
      <c r="H30" s="12">
        <f t="shared" si="11"/>
        <v>16768.439999999999</v>
      </c>
    </row>
    <row r="31" spans="1:9" ht="30" x14ac:dyDescent="0.25">
      <c r="A31" s="5">
        <v>10</v>
      </c>
      <c r="B31" s="11" t="s">
        <v>23</v>
      </c>
      <c r="C31" s="10"/>
      <c r="D31" s="12"/>
      <c r="E31" s="12"/>
      <c r="F31" s="12"/>
      <c r="G31" s="12"/>
      <c r="H31" s="12"/>
    </row>
    <row r="32" spans="1:9" x14ac:dyDescent="0.25">
      <c r="A32" s="15"/>
      <c r="B32" s="14" t="s">
        <v>9</v>
      </c>
      <c r="C32" s="10" t="s">
        <v>6</v>
      </c>
      <c r="D32" s="12">
        <f>D24+D25+D26+D27+D28+D29+D30</f>
        <v>18073.260000000002</v>
      </c>
      <c r="E32" s="12">
        <f t="shared" ref="E32:G32" si="17">E24+E25+E26+E27+E28+E29+E30</f>
        <v>18073.260000000002</v>
      </c>
      <c r="F32" s="12">
        <f t="shared" si="17"/>
        <v>18073.260000000002</v>
      </c>
      <c r="G32" s="12">
        <f t="shared" si="17"/>
        <v>18073.260000000002</v>
      </c>
      <c r="H32" s="12">
        <f>D32+E32+F32+G32</f>
        <v>72293.040000000008</v>
      </c>
    </row>
    <row r="33" spans="1:9" x14ac:dyDescent="0.25">
      <c r="A33" s="15"/>
      <c r="B33" s="14" t="s">
        <v>10</v>
      </c>
      <c r="C33" s="10" t="s">
        <v>6</v>
      </c>
      <c r="D33" s="12">
        <f t="shared" ref="D33:G33" si="18">ROUND(D32*12,2)</f>
        <v>216879.12</v>
      </c>
      <c r="E33" s="12">
        <f t="shared" si="18"/>
        <v>216879.12</v>
      </c>
      <c r="F33" s="12">
        <f t="shared" si="18"/>
        <v>216879.12</v>
      </c>
      <c r="G33" s="12">
        <f t="shared" si="18"/>
        <v>216879.12</v>
      </c>
      <c r="H33" s="12">
        <f>D33+E33+F33+G33</f>
        <v>867516.48</v>
      </c>
    </row>
    <row r="34" spans="1:9" ht="19.5" customHeight="1" x14ac:dyDescent="0.25">
      <c r="A34" s="15"/>
      <c r="B34" s="38" t="s">
        <v>12</v>
      </c>
      <c r="C34" s="39"/>
      <c r="D34" s="15"/>
      <c r="E34" s="15"/>
      <c r="F34" s="15"/>
      <c r="G34" s="15"/>
      <c r="H34" s="15"/>
    </row>
    <row r="35" spans="1:9" x14ac:dyDescent="0.25">
      <c r="A35" s="15"/>
      <c r="B35" s="11" t="s">
        <v>58</v>
      </c>
      <c r="C35" s="10" t="s">
        <v>6</v>
      </c>
      <c r="D35" s="12">
        <f>ROUND((D20+D33)*0.192,2)</f>
        <v>136745.82999999999</v>
      </c>
      <c r="E35" s="12">
        <f t="shared" ref="E35:G35" si="19">ROUND((E20+E33)*0.192,2)</f>
        <v>145687.35999999999</v>
      </c>
      <c r="F35" s="12">
        <f t="shared" si="19"/>
        <v>145687.35999999999</v>
      </c>
      <c r="G35" s="12">
        <f t="shared" si="19"/>
        <v>145687.35999999999</v>
      </c>
      <c r="H35" s="12">
        <f>D35+E35+F35+G35</f>
        <v>573807.90999999992</v>
      </c>
    </row>
    <row r="36" spans="1:9" ht="66" customHeight="1" x14ac:dyDescent="0.25">
      <c r="A36" s="15"/>
      <c r="B36" s="40" t="s">
        <v>14</v>
      </c>
      <c r="C36" s="41"/>
      <c r="D36" s="12"/>
      <c r="E36" s="12"/>
      <c r="F36" s="12"/>
      <c r="G36" s="12"/>
      <c r="H36" s="12"/>
    </row>
    <row r="37" spans="1:9" ht="25.5" customHeight="1" x14ac:dyDescent="0.25">
      <c r="A37" s="15"/>
      <c r="B37" s="11" t="s">
        <v>59</v>
      </c>
      <c r="C37" s="10" t="s">
        <v>6</v>
      </c>
      <c r="D37" s="12">
        <f>ROUND(0.24*(D20+D33),2)</f>
        <v>170932.29</v>
      </c>
      <c r="E37" s="12">
        <f t="shared" ref="E37:G37" si="20">ROUND(0.24*(E20+E33),2)</f>
        <v>182109.2</v>
      </c>
      <c r="F37" s="12">
        <f t="shared" si="20"/>
        <v>182109.2</v>
      </c>
      <c r="G37" s="12">
        <f t="shared" si="20"/>
        <v>182109.2</v>
      </c>
      <c r="H37" s="12">
        <f>D37+E37+F37+G37</f>
        <v>717259.8899999999</v>
      </c>
    </row>
    <row r="38" spans="1:9" ht="66.75" customHeight="1" x14ac:dyDescent="0.25">
      <c r="A38" s="15"/>
      <c r="B38" s="40" t="s">
        <v>13</v>
      </c>
      <c r="C38" s="41"/>
      <c r="D38" s="15"/>
      <c r="E38" s="15"/>
      <c r="F38" s="15"/>
      <c r="G38" s="15"/>
      <c r="H38" s="15"/>
    </row>
    <row r="39" spans="1:9" ht="30.75" customHeight="1" x14ac:dyDescent="0.25">
      <c r="A39" s="15"/>
      <c r="B39" s="11" t="s">
        <v>60</v>
      </c>
      <c r="C39" s="10" t="s">
        <v>6</v>
      </c>
      <c r="D39" s="12">
        <f>ROUND((0.227*(D20+D33)),2)</f>
        <v>161673.46</v>
      </c>
      <c r="E39" s="12">
        <f t="shared" ref="E39:G39" si="21">ROUND((0.227*(E20+E33)),2)</f>
        <v>172244.95</v>
      </c>
      <c r="F39" s="12">
        <f t="shared" si="21"/>
        <v>172244.95</v>
      </c>
      <c r="G39" s="12">
        <f t="shared" si="21"/>
        <v>172244.95</v>
      </c>
      <c r="H39" s="12">
        <f>D39+E39+F39+G39</f>
        <v>678408.31</v>
      </c>
    </row>
    <row r="40" spans="1:9" ht="68.25" customHeight="1" x14ac:dyDescent="0.25">
      <c r="A40" s="15"/>
      <c r="B40" s="40" t="s">
        <v>15</v>
      </c>
      <c r="C40" s="41"/>
      <c r="D40" s="15"/>
      <c r="E40" s="15"/>
      <c r="F40" s="15"/>
      <c r="G40" s="15"/>
      <c r="H40" s="15"/>
    </row>
    <row r="41" spans="1:9" ht="15.75" x14ac:dyDescent="0.25">
      <c r="A41" s="15"/>
      <c r="B41" s="21"/>
      <c r="C41" s="10" t="s">
        <v>6</v>
      </c>
      <c r="D41" s="12">
        <f>D20+D35+D37+D39+D33</f>
        <v>1181569.46</v>
      </c>
      <c r="E41" s="12">
        <f>E20+E35+E37+E39+E33</f>
        <v>1258829.83</v>
      </c>
      <c r="F41" s="12">
        <f>F20+F35+F37+F39+F33</f>
        <v>1258829.83</v>
      </c>
      <c r="G41" s="12">
        <f>G20+G35+G37+G39+G33</f>
        <v>1258829.83</v>
      </c>
      <c r="H41" s="12">
        <f>D41+E41+F41+G41</f>
        <v>4958058.95</v>
      </c>
    </row>
    <row r="42" spans="1:9" ht="20.25" customHeight="1" x14ac:dyDescent="0.25">
      <c r="A42" s="15"/>
      <c r="B42" s="22" t="s">
        <v>49</v>
      </c>
      <c r="C42" s="23" t="s">
        <v>47</v>
      </c>
      <c r="D42" s="9">
        <v>25</v>
      </c>
      <c r="E42" s="9">
        <v>25</v>
      </c>
      <c r="F42" s="9">
        <v>25</v>
      </c>
      <c r="G42" s="9">
        <v>25</v>
      </c>
      <c r="H42" s="9">
        <v>25</v>
      </c>
    </row>
    <row r="43" spans="1:9" ht="108" customHeight="1" x14ac:dyDescent="0.25">
      <c r="A43" s="15"/>
      <c r="B43" s="22" t="s">
        <v>44</v>
      </c>
      <c r="C43" s="23" t="s">
        <v>6</v>
      </c>
      <c r="D43" s="9"/>
      <c r="E43" s="9"/>
      <c r="F43" s="9"/>
      <c r="G43" s="9"/>
      <c r="H43" s="9">
        <f>ROUND(H41/H42/4,0)</f>
        <v>49581</v>
      </c>
    </row>
    <row r="44" spans="1:9" ht="97.5" customHeight="1" x14ac:dyDescent="0.25">
      <c r="A44" s="15"/>
      <c r="B44" s="22" t="s">
        <v>45</v>
      </c>
      <c r="C44" s="23" t="s">
        <v>6</v>
      </c>
      <c r="D44" s="12"/>
      <c r="E44" s="12"/>
      <c r="F44" s="12"/>
      <c r="G44" s="12"/>
      <c r="H44" s="9">
        <v>46582</v>
      </c>
    </row>
    <row r="45" spans="1:9" ht="141.75" customHeight="1" x14ac:dyDescent="0.25">
      <c r="A45" s="15"/>
      <c r="B45" s="24" t="s">
        <v>42</v>
      </c>
      <c r="C45" s="30" t="s">
        <v>46</v>
      </c>
      <c r="D45" s="12"/>
      <c r="E45" s="12"/>
      <c r="F45" s="12"/>
      <c r="G45" s="12"/>
      <c r="H45" s="26">
        <f>ROUND(H43/H44,3)</f>
        <v>1.0640000000000001</v>
      </c>
    </row>
    <row r="46" spans="1:9" ht="153" customHeight="1" x14ac:dyDescent="0.25">
      <c r="A46" s="28"/>
      <c r="B46" s="46"/>
      <c r="C46" s="46"/>
      <c r="D46" s="27"/>
      <c r="E46" s="27"/>
      <c r="F46" s="27"/>
      <c r="G46" s="27"/>
      <c r="H46" s="27"/>
    </row>
    <row r="47" spans="1:9" ht="53.25" customHeight="1" x14ac:dyDescent="0.25">
      <c r="A47" s="28"/>
      <c r="B47" s="46"/>
      <c r="C47" s="46"/>
      <c r="D47" s="29"/>
      <c r="E47" s="29"/>
      <c r="F47" s="29"/>
      <c r="G47" s="29"/>
      <c r="H47" s="27"/>
    </row>
    <row r="48" spans="1:9" x14ac:dyDescent="0.25">
      <c r="A48" s="28"/>
      <c r="B48" s="28"/>
      <c r="C48" s="28"/>
      <c r="D48" s="27"/>
      <c r="E48" s="27"/>
      <c r="F48" s="27"/>
      <c r="G48" s="27"/>
      <c r="H48" s="27"/>
      <c r="I48" s="28"/>
    </row>
    <row r="49" spans="1:9" x14ac:dyDescent="0.25">
      <c r="A49" s="28"/>
      <c r="B49" s="28"/>
      <c r="C49" s="28"/>
      <c r="D49" s="27"/>
      <c r="E49" s="27"/>
      <c r="F49" s="27"/>
      <c r="G49" s="27"/>
      <c r="H49" s="27"/>
      <c r="I49" s="28"/>
    </row>
  </sheetData>
  <mergeCells count="14">
    <mergeCell ref="B40:C40"/>
    <mergeCell ref="B46:C46"/>
    <mergeCell ref="B47:C47"/>
    <mergeCell ref="B7:C7"/>
    <mergeCell ref="B21:C21"/>
    <mergeCell ref="B34:C34"/>
    <mergeCell ref="B36:C36"/>
    <mergeCell ref="B38:C38"/>
    <mergeCell ref="G1:H1"/>
    <mergeCell ref="A3:H3"/>
    <mergeCell ref="A5:A6"/>
    <mergeCell ref="B5:B6"/>
    <mergeCell ref="C5:C6"/>
    <mergeCell ref="D5:G5"/>
  </mergeCells>
  <printOptions horizontalCentered="1"/>
  <pageMargins left="0.39370078740157483" right="0" top="0.55118110236220474" bottom="0" header="0" footer="0"/>
  <pageSetup paperSize="9" scale="60" orientation="portrait" r:id="rId1"/>
  <rowBreaks count="1" manualBreakCount="1">
    <brk id="3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view="pageBreakPreview" zoomScale="78" zoomScaleNormal="77" zoomScaleSheetLayoutView="78" workbookViewId="0">
      <pane xSplit="3" ySplit="6" topLeftCell="D39" activePane="bottomRight" state="frozen"/>
      <selection pane="topRight" activeCell="D1" sqref="D1"/>
      <selection pane="bottomLeft" activeCell="A5" sqref="A5"/>
      <selection pane="bottomRight" activeCell="G2" sqref="G2"/>
    </sheetView>
  </sheetViews>
  <sheetFormatPr defaultRowHeight="15" x14ac:dyDescent="0.25"/>
  <cols>
    <col min="1" max="1" width="7.140625" style="3" customWidth="1"/>
    <col min="2" max="2" width="48.42578125" style="3" customWidth="1"/>
    <col min="3" max="3" width="19.42578125" style="3" customWidth="1"/>
    <col min="4" max="4" width="14.7109375" style="3" customWidth="1"/>
    <col min="5" max="5" width="12.7109375" style="3" customWidth="1"/>
    <col min="6" max="6" width="13" style="3" customWidth="1"/>
    <col min="7" max="7" width="13.42578125" style="3" customWidth="1"/>
    <col min="8" max="8" width="16.42578125" style="3" customWidth="1"/>
    <col min="9" max="9" width="11.28515625" style="3" bestFit="1" customWidth="1"/>
    <col min="10" max="16384" width="9.140625" style="3"/>
  </cols>
  <sheetData>
    <row r="1" spans="1:10" ht="15" customHeight="1" x14ac:dyDescent="0.3">
      <c r="G1" s="42" t="s">
        <v>62</v>
      </c>
      <c r="H1" s="42"/>
    </row>
    <row r="2" spans="1:10" ht="15" customHeight="1" x14ac:dyDescent="0.3">
      <c r="G2" s="31"/>
      <c r="H2" s="31"/>
    </row>
    <row r="3" spans="1:10" s="1" customFormat="1" ht="91.5" customHeight="1" x14ac:dyDescent="0.3">
      <c r="A3" s="43" t="s">
        <v>56</v>
      </c>
      <c r="B3" s="43"/>
      <c r="C3" s="43"/>
      <c r="D3" s="43"/>
      <c r="E3" s="43"/>
      <c r="F3" s="43"/>
      <c r="G3" s="43"/>
      <c r="H3" s="43"/>
      <c r="I3" s="32"/>
    </row>
    <row r="5" spans="1:10" ht="15" customHeight="1" x14ac:dyDescent="0.25">
      <c r="A5" s="35" t="s">
        <v>1</v>
      </c>
      <c r="B5" s="37" t="s">
        <v>2</v>
      </c>
      <c r="C5" s="37" t="s">
        <v>3</v>
      </c>
      <c r="D5" s="44" t="s">
        <v>7</v>
      </c>
      <c r="E5" s="45"/>
      <c r="F5" s="45"/>
      <c r="G5" s="45"/>
      <c r="H5" s="18"/>
    </row>
    <row r="6" spans="1:10" ht="15" customHeight="1" x14ac:dyDescent="0.25">
      <c r="A6" s="36"/>
      <c r="B6" s="37"/>
      <c r="C6" s="37"/>
      <c r="D6" s="19" t="s">
        <v>18</v>
      </c>
      <c r="E6" s="19" t="s">
        <v>19</v>
      </c>
      <c r="F6" s="19" t="s">
        <v>20</v>
      </c>
      <c r="G6" s="19" t="s">
        <v>21</v>
      </c>
      <c r="H6" s="10" t="s">
        <v>0</v>
      </c>
    </row>
    <row r="7" spans="1:10" ht="30" customHeight="1" x14ac:dyDescent="0.25">
      <c r="A7" s="5"/>
      <c r="B7" s="33" t="s">
        <v>32</v>
      </c>
      <c r="C7" s="34"/>
      <c r="D7" s="4"/>
      <c r="E7" s="4"/>
      <c r="F7" s="4"/>
      <c r="G7" s="4"/>
      <c r="H7" s="4"/>
    </row>
    <row r="8" spans="1:10" ht="78.75" customHeight="1" x14ac:dyDescent="0.25">
      <c r="A8" s="5">
        <v>1</v>
      </c>
      <c r="B8" s="17" t="s">
        <v>51</v>
      </c>
      <c r="C8" s="7" t="s">
        <v>17</v>
      </c>
      <c r="D8" s="8">
        <v>21</v>
      </c>
      <c r="E8" s="8">
        <v>23</v>
      </c>
      <c r="F8" s="8">
        <v>23</v>
      </c>
      <c r="G8" s="8">
        <v>23</v>
      </c>
      <c r="H8" s="9">
        <f t="shared" ref="H8:H16" si="0">D8+E8+F8+G8</f>
        <v>90</v>
      </c>
      <c r="I8" s="16"/>
      <c r="J8" s="16"/>
    </row>
    <row r="9" spans="1:10" ht="77.25" customHeight="1" x14ac:dyDescent="0.25">
      <c r="A9" s="5">
        <v>2</v>
      </c>
      <c r="B9" s="6" t="s">
        <v>36</v>
      </c>
      <c r="C9" s="7" t="s">
        <v>17</v>
      </c>
      <c r="D9" s="8">
        <f>ROUND(D8*0.6,0)</f>
        <v>13</v>
      </c>
      <c r="E9" s="8">
        <f t="shared" ref="E9:G9" si="1">ROUND(E8*0.6,0)</f>
        <v>14</v>
      </c>
      <c r="F9" s="8">
        <f t="shared" si="1"/>
        <v>14</v>
      </c>
      <c r="G9" s="8">
        <f t="shared" si="1"/>
        <v>14</v>
      </c>
      <c r="H9" s="9">
        <f t="shared" si="0"/>
        <v>55</v>
      </c>
      <c r="I9" s="16"/>
      <c r="J9" s="16"/>
    </row>
    <row r="10" spans="1:10" ht="56.25" customHeight="1" x14ac:dyDescent="0.25">
      <c r="A10" s="10">
        <v>3</v>
      </c>
      <c r="B10" s="11" t="s">
        <v>37</v>
      </c>
      <c r="C10" s="10" t="s">
        <v>4</v>
      </c>
      <c r="D10" s="10">
        <f>ROUND(D9/18,2)</f>
        <v>0.72</v>
      </c>
      <c r="E10" s="10">
        <f t="shared" ref="E10:G10" si="2">ROUND(E9/18,2)</f>
        <v>0.78</v>
      </c>
      <c r="F10" s="10">
        <f t="shared" si="2"/>
        <v>0.78</v>
      </c>
      <c r="G10" s="10">
        <f t="shared" si="2"/>
        <v>0.78</v>
      </c>
      <c r="H10" s="12">
        <f t="shared" si="0"/>
        <v>3.0600000000000005</v>
      </c>
      <c r="I10" s="16"/>
      <c r="J10" s="16"/>
    </row>
    <row r="11" spans="1:10" ht="80.25" customHeight="1" x14ac:dyDescent="0.25">
      <c r="A11" s="5">
        <v>4</v>
      </c>
      <c r="B11" s="11" t="s">
        <v>53</v>
      </c>
      <c r="C11" s="8" t="s">
        <v>6</v>
      </c>
      <c r="D11" s="13">
        <f>ROUND(14449*D10*1.055,2)</f>
        <v>10975.46</v>
      </c>
      <c r="E11" s="13">
        <f t="shared" ref="E11:G11" si="3">ROUND(14449*E10*1.055,2)</f>
        <v>11890.08</v>
      </c>
      <c r="F11" s="13">
        <f t="shared" si="3"/>
        <v>11890.08</v>
      </c>
      <c r="G11" s="13">
        <f t="shared" si="3"/>
        <v>11890.08</v>
      </c>
      <c r="H11" s="12">
        <f t="shared" si="0"/>
        <v>46645.700000000004</v>
      </c>
      <c r="I11" s="16"/>
      <c r="J11" s="16"/>
    </row>
    <row r="12" spans="1:10" ht="53.25" customHeight="1" x14ac:dyDescent="0.25">
      <c r="A12" s="10">
        <v>5</v>
      </c>
      <c r="B12" s="11" t="s">
        <v>27</v>
      </c>
      <c r="C12" s="10" t="s">
        <v>6</v>
      </c>
      <c r="D12" s="12">
        <f>ROUND(D11*0.25,2)</f>
        <v>2743.87</v>
      </c>
      <c r="E12" s="12">
        <f t="shared" ref="E12:G12" si="4">ROUND(E11*0.25,2)</f>
        <v>2972.52</v>
      </c>
      <c r="F12" s="12">
        <f t="shared" si="4"/>
        <v>2972.52</v>
      </c>
      <c r="G12" s="12">
        <f t="shared" si="4"/>
        <v>2972.52</v>
      </c>
      <c r="H12" s="12">
        <f t="shared" si="0"/>
        <v>11661.43</v>
      </c>
      <c r="I12" s="16"/>
      <c r="J12" s="16"/>
    </row>
    <row r="13" spans="1:10" ht="51.75" customHeight="1" x14ac:dyDescent="0.25">
      <c r="A13" s="5">
        <v>6</v>
      </c>
      <c r="B13" s="11" t="s">
        <v>25</v>
      </c>
      <c r="C13" s="10" t="s">
        <v>6</v>
      </c>
      <c r="D13" s="12">
        <f>ROUND((D11)*0.2,2)</f>
        <v>2195.09</v>
      </c>
      <c r="E13" s="12">
        <f t="shared" ref="E13:G13" si="5">ROUND((E11)*0.2,2)</f>
        <v>2378.02</v>
      </c>
      <c r="F13" s="12">
        <f t="shared" si="5"/>
        <v>2378.02</v>
      </c>
      <c r="G13" s="12">
        <f t="shared" si="5"/>
        <v>2378.02</v>
      </c>
      <c r="H13" s="12">
        <f t="shared" si="0"/>
        <v>9329.1500000000015</v>
      </c>
      <c r="I13" s="16"/>
      <c r="J13" s="16"/>
    </row>
    <row r="14" spans="1:10" ht="86.25" customHeight="1" x14ac:dyDescent="0.25">
      <c r="A14" s="5">
        <v>7</v>
      </c>
      <c r="B14" s="11" t="s">
        <v>40</v>
      </c>
      <c r="C14" s="10" t="s">
        <v>6</v>
      </c>
      <c r="D14" s="12">
        <f>ROUND(0.125*D11,2)</f>
        <v>1371.93</v>
      </c>
      <c r="E14" s="12">
        <f t="shared" ref="E14:G14" si="6">ROUND(0.125*E11,2)</f>
        <v>1486.26</v>
      </c>
      <c r="F14" s="12">
        <f t="shared" si="6"/>
        <v>1486.26</v>
      </c>
      <c r="G14" s="12">
        <f t="shared" si="6"/>
        <v>1486.26</v>
      </c>
      <c r="H14" s="12">
        <f t="shared" si="0"/>
        <v>5830.71</v>
      </c>
      <c r="I14" s="16"/>
      <c r="J14" s="16"/>
    </row>
    <row r="15" spans="1:10" ht="30" x14ac:dyDescent="0.25">
      <c r="A15" s="10">
        <v>8</v>
      </c>
      <c r="B15" s="11" t="s">
        <v>31</v>
      </c>
      <c r="C15" s="10" t="s">
        <v>6</v>
      </c>
      <c r="D15" s="10">
        <f>ROUND((D11+D12+D13+D14)*0.01,2)</f>
        <v>172.86</v>
      </c>
      <c r="E15" s="10">
        <f t="shared" ref="E15:G15" si="7">ROUND((E11+E12+E13+E14)*0.01,2)</f>
        <v>187.27</v>
      </c>
      <c r="F15" s="10">
        <f t="shared" si="7"/>
        <v>187.27</v>
      </c>
      <c r="G15" s="10">
        <f t="shared" si="7"/>
        <v>187.27</v>
      </c>
      <c r="H15" s="12">
        <f t="shared" si="0"/>
        <v>734.67</v>
      </c>
    </row>
    <row r="16" spans="1:10" ht="31.5" customHeight="1" x14ac:dyDescent="0.25">
      <c r="A16" s="5">
        <v>9</v>
      </c>
      <c r="B16" s="11" t="s">
        <v>11</v>
      </c>
      <c r="C16" s="10" t="s">
        <v>6</v>
      </c>
      <c r="D16" s="13">
        <f>ROUND((D11+D12+D13+D14+D15)*0.302,2)</f>
        <v>5272.68</v>
      </c>
      <c r="E16" s="13">
        <f t="shared" ref="E16:G16" si="8">ROUND((E11+E12+E13+E14+E15)*0.302,2)</f>
        <v>5712.07</v>
      </c>
      <c r="F16" s="13">
        <f t="shared" si="8"/>
        <v>5712.07</v>
      </c>
      <c r="G16" s="13">
        <f t="shared" si="8"/>
        <v>5712.07</v>
      </c>
      <c r="H16" s="12">
        <f t="shared" si="0"/>
        <v>22408.89</v>
      </c>
    </row>
    <row r="17" spans="1:9" x14ac:dyDescent="0.25">
      <c r="A17" s="10">
        <v>10</v>
      </c>
      <c r="B17" s="11" t="s">
        <v>8</v>
      </c>
      <c r="C17" s="10"/>
      <c r="D17" s="12"/>
      <c r="E17" s="12"/>
      <c r="F17" s="12"/>
      <c r="G17" s="12"/>
      <c r="H17" s="12"/>
    </row>
    <row r="18" spans="1:9" x14ac:dyDescent="0.25">
      <c r="A18" s="10"/>
      <c r="B18" s="14" t="s">
        <v>9</v>
      </c>
      <c r="C18" s="10" t="s">
        <v>6</v>
      </c>
      <c r="D18" s="12">
        <f>D11+D12+D13+D14+D15+D16</f>
        <v>22731.89</v>
      </c>
      <c r="E18" s="12">
        <f t="shared" ref="E18:G18" si="9">E11+E12+E13+E14+E15+E16</f>
        <v>24626.219999999998</v>
      </c>
      <c r="F18" s="12">
        <f t="shared" si="9"/>
        <v>24626.219999999998</v>
      </c>
      <c r="G18" s="12">
        <f t="shared" si="9"/>
        <v>24626.219999999998</v>
      </c>
      <c r="H18" s="12">
        <f>D18+E18+F18+G18</f>
        <v>96610.55</v>
      </c>
    </row>
    <row r="19" spans="1:9" x14ac:dyDescent="0.25">
      <c r="A19" s="15"/>
      <c r="B19" s="14" t="s">
        <v>10</v>
      </c>
      <c r="C19" s="10" t="s">
        <v>6</v>
      </c>
      <c r="D19" s="12">
        <f t="shared" ref="D19" si="10">ROUND(D18*12,2)</f>
        <v>272782.68</v>
      </c>
      <c r="E19" s="12">
        <f t="shared" ref="E19:G19" si="11">ROUND(E18*12,2)</f>
        <v>295514.64</v>
      </c>
      <c r="F19" s="12">
        <f t="shared" si="11"/>
        <v>295514.64</v>
      </c>
      <c r="G19" s="12">
        <f t="shared" si="11"/>
        <v>295514.64</v>
      </c>
      <c r="H19" s="12">
        <f>D19+E19+F19+G19</f>
        <v>1159326.6000000001</v>
      </c>
      <c r="I19" s="20"/>
    </row>
    <row r="20" spans="1:9" ht="39.75" customHeight="1" x14ac:dyDescent="0.25">
      <c r="A20" s="15"/>
      <c r="B20" s="33" t="s">
        <v>39</v>
      </c>
      <c r="C20" s="34"/>
      <c r="D20" s="12"/>
      <c r="E20" s="12"/>
      <c r="F20" s="12"/>
      <c r="G20" s="12"/>
      <c r="H20" s="12"/>
    </row>
    <row r="21" spans="1:9" ht="39" customHeight="1" x14ac:dyDescent="0.25">
      <c r="A21" s="5">
        <v>1</v>
      </c>
      <c r="B21" s="6" t="s">
        <v>22</v>
      </c>
      <c r="C21" s="7" t="s">
        <v>17</v>
      </c>
      <c r="D21" s="9">
        <v>10</v>
      </c>
      <c r="E21" s="9">
        <v>10</v>
      </c>
      <c r="F21" s="9">
        <v>10</v>
      </c>
      <c r="G21" s="9">
        <v>10</v>
      </c>
      <c r="H21" s="9">
        <f t="shared" ref="H21:H29" si="12">D21+E21+F21+G21</f>
        <v>40</v>
      </c>
    </row>
    <row r="22" spans="1:9" ht="87" customHeight="1" x14ac:dyDescent="0.25">
      <c r="A22" s="5">
        <v>2</v>
      </c>
      <c r="B22" s="6" t="s">
        <v>38</v>
      </c>
      <c r="C22" s="7" t="s">
        <v>17</v>
      </c>
      <c r="D22" s="9">
        <f>ROUND(D21*0.4,0)</f>
        <v>4</v>
      </c>
      <c r="E22" s="9">
        <f t="shared" ref="E22:G22" si="13">ROUND(E21*0.4,0)</f>
        <v>4</v>
      </c>
      <c r="F22" s="9">
        <f t="shared" si="13"/>
        <v>4</v>
      </c>
      <c r="G22" s="9">
        <f t="shared" si="13"/>
        <v>4</v>
      </c>
      <c r="H22" s="9">
        <f t="shared" si="12"/>
        <v>16</v>
      </c>
    </row>
    <row r="23" spans="1:9" ht="71.25" customHeight="1" x14ac:dyDescent="0.25">
      <c r="A23" s="10">
        <v>3</v>
      </c>
      <c r="B23" s="11" t="s">
        <v>37</v>
      </c>
      <c r="C23" s="10" t="s">
        <v>4</v>
      </c>
      <c r="D23" s="12">
        <f>ROUND(D22/18,2)</f>
        <v>0.22</v>
      </c>
      <c r="E23" s="12">
        <f t="shared" ref="E23:G23" si="14">ROUND(E22/18,2)</f>
        <v>0.22</v>
      </c>
      <c r="F23" s="12">
        <f t="shared" si="14"/>
        <v>0.22</v>
      </c>
      <c r="G23" s="12">
        <f t="shared" si="14"/>
        <v>0.22</v>
      </c>
      <c r="H23" s="12">
        <f t="shared" si="12"/>
        <v>0.88</v>
      </c>
    </row>
    <row r="24" spans="1:9" ht="45" x14ac:dyDescent="0.25">
      <c r="A24" s="5">
        <v>4</v>
      </c>
      <c r="B24" s="11" t="s">
        <v>53</v>
      </c>
      <c r="C24" s="10" t="s">
        <v>6</v>
      </c>
      <c r="D24" s="12">
        <f>ROUND(14449*D23*1.055,2)</f>
        <v>3353.61</v>
      </c>
      <c r="E24" s="12">
        <f t="shared" ref="E24:G24" si="15">ROUND(14449*E23*1.055,2)</f>
        <v>3353.61</v>
      </c>
      <c r="F24" s="12">
        <f t="shared" si="15"/>
        <v>3353.61</v>
      </c>
      <c r="G24" s="12">
        <f t="shared" si="15"/>
        <v>3353.61</v>
      </c>
      <c r="H24" s="12">
        <f t="shared" si="12"/>
        <v>13414.44</v>
      </c>
    </row>
    <row r="25" spans="1:9" ht="54" customHeight="1" x14ac:dyDescent="0.25">
      <c r="A25" s="10">
        <v>5</v>
      </c>
      <c r="B25" s="11" t="s">
        <v>24</v>
      </c>
      <c r="C25" s="10" t="s">
        <v>6</v>
      </c>
      <c r="D25" s="12">
        <f>ROUND(D24*0.25,2)</f>
        <v>838.4</v>
      </c>
      <c r="E25" s="12">
        <f t="shared" ref="E25:G25" si="16">ROUND(E24*0.25,2)</f>
        <v>838.4</v>
      </c>
      <c r="F25" s="12">
        <f t="shared" si="16"/>
        <v>838.4</v>
      </c>
      <c r="G25" s="12">
        <f t="shared" si="16"/>
        <v>838.4</v>
      </c>
      <c r="H25" s="12">
        <f t="shared" si="12"/>
        <v>3353.6</v>
      </c>
    </row>
    <row r="26" spans="1:9" ht="64.5" customHeight="1" x14ac:dyDescent="0.25">
      <c r="A26" s="5">
        <v>6</v>
      </c>
      <c r="B26" s="11" t="s">
        <v>28</v>
      </c>
      <c r="C26" s="10" t="s">
        <v>6</v>
      </c>
      <c r="D26" s="12">
        <f>ROUND((D24)*0.2,2)</f>
        <v>670.72</v>
      </c>
      <c r="E26" s="12">
        <f t="shared" ref="E26:G26" si="17">ROUND((E24)*0.2,2)</f>
        <v>670.72</v>
      </c>
      <c r="F26" s="12">
        <f t="shared" si="17"/>
        <v>670.72</v>
      </c>
      <c r="G26" s="12">
        <f t="shared" si="17"/>
        <v>670.72</v>
      </c>
      <c r="H26" s="12">
        <f t="shared" si="12"/>
        <v>2682.88</v>
      </c>
    </row>
    <row r="27" spans="1:9" ht="90.75" customHeight="1" x14ac:dyDescent="0.25">
      <c r="A27" s="5">
        <v>7</v>
      </c>
      <c r="B27" s="11" t="s">
        <v>40</v>
      </c>
      <c r="C27" s="10" t="s">
        <v>6</v>
      </c>
      <c r="D27" s="12">
        <f>ROUND(0.125*D24,2)</f>
        <v>419.2</v>
      </c>
      <c r="E27" s="12">
        <f t="shared" ref="E27:G27" si="18">ROUND(0.125*E24,2)</f>
        <v>419.2</v>
      </c>
      <c r="F27" s="12">
        <f t="shared" si="18"/>
        <v>419.2</v>
      </c>
      <c r="G27" s="12">
        <f t="shared" si="18"/>
        <v>419.2</v>
      </c>
      <c r="H27" s="12">
        <f t="shared" si="12"/>
        <v>1676.8</v>
      </c>
    </row>
    <row r="28" spans="1:9" ht="30" x14ac:dyDescent="0.25">
      <c r="A28" s="5">
        <v>8</v>
      </c>
      <c r="B28" s="11" t="s">
        <v>31</v>
      </c>
      <c r="C28" s="10" t="s">
        <v>6</v>
      </c>
      <c r="D28" s="12">
        <f>ROUND((D24+D25+D26+D27)*0.01,2)</f>
        <v>52.82</v>
      </c>
      <c r="E28" s="12">
        <f t="shared" ref="E28:G28" si="19">ROUND((E24+E25+E26+E27)*0.01,2)</f>
        <v>52.82</v>
      </c>
      <c r="F28" s="12">
        <f t="shared" si="19"/>
        <v>52.82</v>
      </c>
      <c r="G28" s="12">
        <f t="shared" si="19"/>
        <v>52.82</v>
      </c>
      <c r="H28" s="12">
        <f t="shared" si="12"/>
        <v>211.28</v>
      </c>
    </row>
    <row r="29" spans="1:9" x14ac:dyDescent="0.25">
      <c r="A29" s="10">
        <v>9</v>
      </c>
      <c r="B29" s="11" t="s">
        <v>11</v>
      </c>
      <c r="C29" s="10" t="s">
        <v>6</v>
      </c>
      <c r="D29" s="13">
        <f>ROUND((D24+D25+D26+D27+D28)*0.302,2)</f>
        <v>1611.09</v>
      </c>
      <c r="E29" s="13">
        <f t="shared" ref="E29:G29" si="20">ROUND((E24+E25+E26+E27+E28)*0.302,2)</f>
        <v>1611.09</v>
      </c>
      <c r="F29" s="13">
        <f t="shared" si="20"/>
        <v>1611.09</v>
      </c>
      <c r="G29" s="13">
        <f t="shared" si="20"/>
        <v>1611.09</v>
      </c>
      <c r="H29" s="12">
        <f t="shared" si="12"/>
        <v>6444.36</v>
      </c>
    </row>
    <row r="30" spans="1:9" ht="30" x14ac:dyDescent="0.25">
      <c r="A30" s="5">
        <v>10</v>
      </c>
      <c r="B30" s="11" t="s">
        <v>23</v>
      </c>
      <c r="C30" s="10" t="s">
        <v>6</v>
      </c>
      <c r="D30" s="12"/>
      <c r="E30" s="12"/>
      <c r="F30" s="12"/>
      <c r="G30" s="12"/>
      <c r="H30" s="12"/>
    </row>
    <row r="31" spans="1:9" x14ac:dyDescent="0.25">
      <c r="A31" s="15"/>
      <c r="B31" s="14" t="s">
        <v>9</v>
      </c>
      <c r="C31" s="10" t="s">
        <v>6</v>
      </c>
      <c r="D31" s="12">
        <f>D24+D25+D26+D27+D28+D29</f>
        <v>6945.84</v>
      </c>
      <c r="E31" s="12">
        <f t="shared" ref="E31:G31" si="21">E24+E25+E26+E27+E28+E29</f>
        <v>6945.84</v>
      </c>
      <c r="F31" s="12">
        <f t="shared" si="21"/>
        <v>6945.84</v>
      </c>
      <c r="G31" s="12">
        <f t="shared" si="21"/>
        <v>6945.84</v>
      </c>
      <c r="H31" s="12">
        <f>D31+E31+F31+G31</f>
        <v>27783.360000000001</v>
      </c>
    </row>
    <row r="32" spans="1:9" x14ac:dyDescent="0.25">
      <c r="A32" s="15"/>
      <c r="B32" s="14" t="s">
        <v>10</v>
      </c>
      <c r="C32" s="10" t="s">
        <v>6</v>
      </c>
      <c r="D32" s="12">
        <f t="shared" ref="D32" si="22">ROUND(D31*12,2)</f>
        <v>83350.080000000002</v>
      </c>
      <c r="E32" s="12">
        <f t="shared" ref="E32:G32" si="23">ROUND(E31*12,2)</f>
        <v>83350.080000000002</v>
      </c>
      <c r="F32" s="12">
        <f t="shared" si="23"/>
        <v>83350.080000000002</v>
      </c>
      <c r="G32" s="12">
        <f t="shared" si="23"/>
        <v>83350.080000000002</v>
      </c>
      <c r="H32" s="12">
        <f>D32+E32+F32+G32</f>
        <v>333400.32000000001</v>
      </c>
    </row>
    <row r="33" spans="1:9" ht="19.5" customHeight="1" x14ac:dyDescent="0.25">
      <c r="A33" s="15"/>
      <c r="B33" s="38" t="s">
        <v>12</v>
      </c>
      <c r="C33" s="39"/>
      <c r="D33" s="15"/>
      <c r="E33" s="15"/>
      <c r="F33" s="15"/>
      <c r="G33" s="15"/>
      <c r="H33" s="15"/>
    </row>
    <row r="34" spans="1:9" x14ac:dyDescent="0.25">
      <c r="A34" s="15"/>
      <c r="B34" s="11" t="s">
        <v>58</v>
      </c>
      <c r="C34" s="10" t="s">
        <v>6</v>
      </c>
      <c r="D34" s="12">
        <f>ROUND((D19+D32)*0.192,2)</f>
        <v>68377.490000000005</v>
      </c>
      <c r="E34" s="12">
        <f t="shared" ref="E34:G34" si="24">ROUND((E19+E32)*0.192,2)</f>
        <v>72742.03</v>
      </c>
      <c r="F34" s="12">
        <f t="shared" si="24"/>
        <v>72742.03</v>
      </c>
      <c r="G34" s="12">
        <f t="shared" si="24"/>
        <v>72742.03</v>
      </c>
      <c r="H34" s="12">
        <f>D34+E34+F34+G34</f>
        <v>286603.58</v>
      </c>
    </row>
    <row r="35" spans="1:9" ht="68.25" customHeight="1" x14ac:dyDescent="0.25">
      <c r="A35" s="15"/>
      <c r="B35" s="40" t="s">
        <v>15</v>
      </c>
      <c r="C35" s="41"/>
      <c r="D35" s="15"/>
      <c r="E35" s="15"/>
      <c r="F35" s="15"/>
      <c r="G35" s="15"/>
      <c r="H35" s="15"/>
    </row>
    <row r="36" spans="1:9" ht="15.75" x14ac:dyDescent="0.25">
      <c r="A36" s="15"/>
      <c r="B36" s="21"/>
      <c r="C36" s="10" t="s">
        <v>6</v>
      </c>
      <c r="D36" s="12">
        <f>D19+D34+D32</f>
        <v>424510.25</v>
      </c>
      <c r="E36" s="12">
        <f t="shared" ref="E36:G36" si="25">E19+E34+E32</f>
        <v>451606.75000000006</v>
      </c>
      <c r="F36" s="12">
        <f t="shared" si="25"/>
        <v>451606.75000000006</v>
      </c>
      <c r="G36" s="12">
        <f t="shared" si="25"/>
        <v>451606.75000000006</v>
      </c>
      <c r="H36" s="12">
        <f>D36+E36+F36+G36</f>
        <v>1779330.5</v>
      </c>
    </row>
    <row r="37" spans="1:9" ht="20.25" customHeight="1" x14ac:dyDescent="0.25">
      <c r="A37" s="15"/>
      <c r="B37" s="22" t="s">
        <v>48</v>
      </c>
      <c r="C37" s="23" t="s">
        <v>47</v>
      </c>
      <c r="D37" s="9">
        <v>1</v>
      </c>
      <c r="E37" s="9">
        <v>1</v>
      </c>
      <c r="F37" s="9">
        <v>1</v>
      </c>
      <c r="G37" s="9">
        <v>1</v>
      </c>
      <c r="H37" s="9">
        <v>1</v>
      </c>
    </row>
    <row r="38" spans="1:9" ht="105.75" customHeight="1" x14ac:dyDescent="0.25">
      <c r="A38" s="15"/>
      <c r="B38" s="22" t="s">
        <v>44</v>
      </c>
      <c r="C38" s="23" t="s">
        <v>6</v>
      </c>
      <c r="D38" s="9"/>
      <c r="E38" s="9"/>
      <c r="F38" s="9"/>
      <c r="G38" s="9"/>
      <c r="H38" s="9">
        <f>ROUND(H36/H37/4,0)</f>
        <v>444833</v>
      </c>
    </row>
    <row r="39" spans="1:9" ht="105" customHeight="1" x14ac:dyDescent="0.25">
      <c r="A39" s="15"/>
      <c r="B39" s="22" t="s">
        <v>45</v>
      </c>
      <c r="C39" s="23" t="s">
        <v>6</v>
      </c>
      <c r="D39" s="12"/>
      <c r="E39" s="12"/>
      <c r="F39" s="12"/>
      <c r="G39" s="12"/>
      <c r="H39" s="9">
        <v>46582</v>
      </c>
    </row>
    <row r="40" spans="1:9" ht="102.75" customHeight="1" x14ac:dyDescent="0.25">
      <c r="A40" s="15"/>
      <c r="B40" s="24" t="s">
        <v>41</v>
      </c>
      <c r="C40" s="25" t="s">
        <v>46</v>
      </c>
      <c r="D40" s="12"/>
      <c r="E40" s="12"/>
      <c r="F40" s="12"/>
      <c r="G40" s="12"/>
      <c r="H40" s="26">
        <f>ROUND(H38/H39,3)</f>
        <v>9.5489999999999995</v>
      </c>
    </row>
    <row r="41" spans="1:9" ht="273" customHeight="1" x14ac:dyDescent="0.25">
      <c r="A41" s="15"/>
      <c r="B41" s="22" t="s">
        <v>57</v>
      </c>
      <c r="C41" s="30" t="s">
        <v>46</v>
      </c>
      <c r="D41" s="9"/>
      <c r="E41" s="9"/>
      <c r="F41" s="9"/>
      <c r="G41" s="9"/>
      <c r="H41" s="26">
        <v>0.152</v>
      </c>
    </row>
    <row r="42" spans="1:9" ht="53.25" customHeight="1" x14ac:dyDescent="0.25">
      <c r="A42" s="28"/>
      <c r="B42" s="46"/>
      <c r="C42" s="46"/>
      <c r="D42" s="29"/>
      <c r="E42" s="29"/>
      <c r="F42" s="29"/>
      <c r="G42" s="29"/>
      <c r="H42" s="27"/>
    </row>
    <row r="43" spans="1:9" ht="15" customHeight="1" x14ac:dyDescent="0.25">
      <c r="A43" s="28"/>
      <c r="B43" s="28"/>
      <c r="C43" s="28"/>
      <c r="D43" s="27"/>
      <c r="E43" s="27"/>
      <c r="F43" s="27"/>
      <c r="G43" s="27"/>
      <c r="H43" s="27"/>
      <c r="I43" s="28"/>
    </row>
    <row r="44" spans="1:9" ht="15" customHeight="1" x14ac:dyDescent="0.25">
      <c r="A44" s="28"/>
      <c r="B44" s="28"/>
      <c r="C44" s="28"/>
      <c r="D44" s="27"/>
      <c r="E44" s="27"/>
      <c r="F44" s="27"/>
      <c r="G44" s="27"/>
      <c r="H44" s="27"/>
      <c r="I44" s="28"/>
    </row>
    <row r="45" spans="1:9" x14ac:dyDescent="0.25">
      <c r="A45" s="28"/>
      <c r="B45" s="28"/>
      <c r="C45" s="28"/>
      <c r="D45" s="28"/>
      <c r="E45" s="28"/>
      <c r="F45" s="28"/>
      <c r="G45" s="28"/>
      <c r="H45" s="28"/>
    </row>
  </sheetData>
  <mergeCells count="11">
    <mergeCell ref="G1:H1"/>
    <mergeCell ref="B42:C42"/>
    <mergeCell ref="A3:H3"/>
    <mergeCell ref="A5:A6"/>
    <mergeCell ref="B5:B6"/>
    <mergeCell ref="C5:C6"/>
    <mergeCell ref="D5:G5"/>
    <mergeCell ref="B7:C7"/>
    <mergeCell ref="B20:C20"/>
    <mergeCell ref="B33:C33"/>
    <mergeCell ref="B35:C35"/>
  </mergeCells>
  <printOptions horizontalCentered="1"/>
  <pageMargins left="0.39370078740157483" right="0" top="0.55118110236220474" bottom="0" header="0" footer="0"/>
  <pageSetup paperSize="9" scale="56" orientation="portrait" r:id="rId1"/>
  <rowBreaks count="1" manualBreakCount="1">
    <brk id="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5- дневная  с селом</vt:lpstr>
      <vt:lpstr>5- дневная  с инклюзией</vt:lpstr>
      <vt:lpstr>5- дневная  надомники основная</vt:lpstr>
      <vt:lpstr>'5- дневная  надомники основная'!Заголовки_для_печати</vt:lpstr>
      <vt:lpstr>'5- дневная  с инклюзией'!Заголовки_для_печати</vt:lpstr>
      <vt:lpstr>'5- дневная  с селом'!Заголовки_для_печати</vt:lpstr>
      <vt:lpstr>'5- дневная  надомники основная'!Область_печати</vt:lpstr>
      <vt:lpstr>'5- дневная  с инклюзией'!Область_печати</vt:lpstr>
      <vt:lpstr>'5-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2023-05-10T09:57:15Z</dcterms:modified>
</cp:coreProperties>
</file>