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65" windowWidth="15120" windowHeight="7350" activeTab="2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2">'5- дневная  надомники'!$A:$B,'5- дневная  надомники'!$5:$6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инклюзия'!$A$1:$F$45</definedName>
    <definedName name="_xlnm.Print_Area" localSheetId="2">'5- дневная  надомники'!$A$1:$F$41</definedName>
    <definedName name="_xlnm.Print_Area" localSheetId="0">'5- дневная  с селом'!$A$1:$F$46</definedName>
  </definedNames>
  <calcPr calcId="145621"/>
</workbook>
</file>

<file path=xl/calcChain.xml><?xml version="1.0" encoding="utf-8"?>
<calcChain xmlns="http://schemas.openxmlformats.org/spreadsheetml/2006/main">
  <c r="E24" i="8" l="1"/>
  <c r="D24" i="8"/>
  <c r="E24" i="7"/>
  <c r="D24" i="7"/>
  <c r="E24" i="6"/>
  <c r="D24" i="6"/>
  <c r="D19" i="6" l="1"/>
  <c r="D20" i="6"/>
  <c r="E10" i="7" l="1"/>
  <c r="D10" i="7"/>
  <c r="E10" i="6"/>
  <c r="D10" i="6"/>
  <c r="F17" i="8" l="1"/>
  <c r="F8" i="8"/>
  <c r="E22" i="8"/>
  <c r="E23" i="8" s="1"/>
  <c r="E27" i="8" s="1"/>
  <c r="D22" i="8"/>
  <c r="F22" i="8" s="1"/>
  <c r="F21" i="8"/>
  <c r="E9" i="8"/>
  <c r="E10" i="8" s="1"/>
  <c r="E11" i="8" s="1"/>
  <c r="E14" i="8" s="1"/>
  <c r="D9" i="8"/>
  <c r="D10" i="8" s="1"/>
  <c r="D11" i="8" s="1"/>
  <c r="D14" i="8" s="1"/>
  <c r="F14" i="8" s="1"/>
  <c r="E23" i="7"/>
  <c r="F23" i="7" s="1"/>
  <c r="D23" i="7"/>
  <c r="F22" i="7"/>
  <c r="E9" i="7"/>
  <c r="D9" i="7"/>
  <c r="F8" i="7"/>
  <c r="F10" i="8" l="1"/>
  <c r="F11" i="8"/>
  <c r="F9" i="8"/>
  <c r="E13" i="8"/>
  <c r="E12" i="8"/>
  <c r="E26" i="8"/>
  <c r="E25" i="8"/>
  <c r="D23" i="8"/>
  <c r="D27" i="8" s="1"/>
  <c r="F27" i="8" s="1"/>
  <c r="F9" i="7"/>
  <c r="E15" i="7"/>
  <c r="E14" i="7"/>
  <c r="E13" i="7"/>
  <c r="E12" i="7"/>
  <c r="E11" i="7"/>
  <c r="D12" i="7"/>
  <c r="D28" i="7"/>
  <c r="D27" i="7"/>
  <c r="D26" i="7"/>
  <c r="D25" i="7"/>
  <c r="F24" i="7"/>
  <c r="E26" i="7"/>
  <c r="E28" i="7"/>
  <c r="D11" i="7"/>
  <c r="D13" i="7"/>
  <c r="F13" i="7" s="1"/>
  <c r="D15" i="7"/>
  <c r="F15" i="7" s="1"/>
  <c r="E25" i="7"/>
  <c r="E27" i="7"/>
  <c r="E28" i="8" l="1"/>
  <c r="E15" i="8"/>
  <c r="F10" i="7"/>
  <c r="F23" i="8"/>
  <c r="D13" i="8"/>
  <c r="F13" i="8" s="1"/>
  <c r="D12" i="8"/>
  <c r="F11" i="7"/>
  <c r="D14" i="7"/>
  <c r="E29" i="7"/>
  <c r="E30" i="7" s="1"/>
  <c r="E32" i="7" s="1"/>
  <c r="E33" i="7" s="1"/>
  <c r="D16" i="7"/>
  <c r="F25" i="7"/>
  <c r="F27" i="7"/>
  <c r="E16" i="7"/>
  <c r="E17" i="7" s="1"/>
  <c r="E19" i="7" s="1"/>
  <c r="F26" i="7"/>
  <c r="F28" i="7"/>
  <c r="D29" i="7"/>
  <c r="F14" i="7"/>
  <c r="F12" i="7"/>
  <c r="E39" i="7" l="1"/>
  <c r="E35" i="7"/>
  <c r="E37" i="7"/>
  <c r="E29" i="8"/>
  <c r="E31" i="8" s="1"/>
  <c r="E16" i="8"/>
  <c r="E18" i="8" s="1"/>
  <c r="E19" i="8" s="1"/>
  <c r="D15" i="8"/>
  <c r="F15" i="8" s="1"/>
  <c r="F12" i="8"/>
  <c r="F29" i="7"/>
  <c r="D30" i="7"/>
  <c r="D32" i="7" s="1"/>
  <c r="D17" i="7"/>
  <c r="D19" i="7" s="1"/>
  <c r="F24" i="8"/>
  <c r="D26" i="8"/>
  <c r="F26" i="8" s="1"/>
  <c r="D25" i="8"/>
  <c r="F16" i="7"/>
  <c r="E20" i="7"/>
  <c r="F25" i="8" l="1"/>
  <c r="D28" i="8"/>
  <c r="D29" i="8" s="1"/>
  <c r="D16" i="8"/>
  <c r="D18" i="8" s="1"/>
  <c r="F30" i="7"/>
  <c r="E32" i="8"/>
  <c r="F16" i="8"/>
  <c r="F19" i="7"/>
  <c r="D20" i="7"/>
  <c r="F17" i="7"/>
  <c r="E34" i="8" l="1"/>
  <c r="E36" i="8" s="1"/>
  <c r="D31" i="8"/>
  <c r="F28" i="8"/>
  <c r="E41" i="7"/>
  <c r="F18" i="8"/>
  <c r="D33" i="7"/>
  <c r="F32" i="7"/>
  <c r="F20" i="7"/>
  <c r="F33" i="7" l="1"/>
  <c r="D39" i="7"/>
  <c r="D35" i="7"/>
  <c r="D37" i="7"/>
  <c r="F37" i="7" s="1"/>
  <c r="F29" i="8"/>
  <c r="D19" i="8"/>
  <c r="F19" i="8" s="1"/>
  <c r="F39" i="7"/>
  <c r="F31" i="8" l="1"/>
  <c r="D32" i="8"/>
  <c r="F35" i="7"/>
  <c r="D41" i="7"/>
  <c r="F41" i="7" s="1"/>
  <c r="F32" i="8" l="1"/>
  <c r="D34" i="8"/>
  <c r="F34" i="8" s="1"/>
  <c r="F43" i="7"/>
  <c r="D36" i="8" l="1"/>
  <c r="F36" i="8" s="1"/>
  <c r="F38" i="8" l="1"/>
  <c r="F22" i="6" l="1"/>
  <c r="F8" i="6"/>
  <c r="E23" i="6" l="1"/>
  <c r="D23" i="6"/>
  <c r="F23" i="6" l="1"/>
  <c r="E29" i="6"/>
  <c r="E28" i="6"/>
  <c r="D29" i="6"/>
  <c r="F29" i="6" s="1"/>
  <c r="D28" i="6"/>
  <c r="F28" i="6" s="1"/>
  <c r="D27" i="6"/>
  <c r="D26" i="6"/>
  <c r="D25" i="6"/>
  <c r="E27" i="6"/>
  <c r="E26" i="6"/>
  <c r="E25" i="6"/>
  <c r="E9" i="6"/>
  <c r="D9" i="6"/>
  <c r="F24" i="6" l="1"/>
  <c r="F9" i="6"/>
  <c r="F26" i="6"/>
  <c r="F25" i="6"/>
  <c r="F27" i="6"/>
  <c r="F10" i="6"/>
  <c r="E30" i="6"/>
  <c r="E31" i="6" s="1"/>
  <c r="E33" i="6" s="1"/>
  <c r="D30" i="6"/>
  <c r="E15" i="6"/>
  <c r="E14" i="6"/>
  <c r="D15" i="6"/>
  <c r="F15" i="6" s="1"/>
  <c r="D13" i="6"/>
  <c r="D12" i="6"/>
  <c r="D11" i="6"/>
  <c r="E13" i="6"/>
  <c r="E12" i="6"/>
  <c r="E11" i="6"/>
  <c r="F30" i="6" l="1"/>
  <c r="D31" i="6"/>
  <c r="D33" i="6" s="1"/>
  <c r="D14" i="6"/>
  <c r="F14" i="6" s="1"/>
  <c r="E16" i="6"/>
  <c r="E17" i="6" s="1"/>
  <c r="E19" i="6" s="1"/>
  <c r="F12" i="6"/>
  <c r="F11" i="6"/>
  <c r="F13" i="6"/>
  <c r="D16" i="6" l="1"/>
  <c r="D17" i="6" s="1"/>
  <c r="F33" i="6"/>
  <c r="F31" i="6"/>
  <c r="E20" i="6"/>
  <c r="F16" i="6" l="1"/>
  <c r="F19" i="6"/>
  <c r="F17" i="6"/>
  <c r="D34" i="6"/>
  <c r="E34" i="6"/>
  <c r="E40" i="6" l="1"/>
  <c r="E36" i="6"/>
  <c r="E38" i="6"/>
  <c r="D40" i="6"/>
  <c r="D36" i="6"/>
  <c r="D38" i="6"/>
  <c r="F34" i="6"/>
  <c r="F20" i="6" l="1"/>
  <c r="F38" i="6"/>
  <c r="F40" i="6"/>
  <c r="F36" i="6"/>
  <c r="E42" i="6"/>
  <c r="D42" i="6" l="1"/>
  <c r="F42" i="6" s="1"/>
  <c r="F44" i="6" s="1"/>
  <c r="F45" i="7" l="1"/>
  <c r="F40" i="8"/>
  <c r="F46" i="6"/>
</calcChain>
</file>

<file path=xl/sharedStrings.xml><?xml version="1.0" encoding="utf-8"?>
<sst xmlns="http://schemas.openxmlformats.org/spreadsheetml/2006/main" count="231" uniqueCount="60">
  <si>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</si>
  <si>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</si>
  <si>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</si>
  <si>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</si>
  <si>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</si>
  <si>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</si>
  <si>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</si>
  <si>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</si>
  <si>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</si>
  <si>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</si>
  <si>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</si>
  <si>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</si>
  <si>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</si>
  <si>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</si>
  <si>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</si>
  <si>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</si>
  <si>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</si>
  <si>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</si>
  <si>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</si>
  <si>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</si>
  <si>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</si>
  <si>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</si>
  <si>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</si>
  <si>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</si>
  <si>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</si>
  <si>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</si>
  <si>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</si>
  <si>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</si>
  <si>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</si>
  <si>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</si>
  <si>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</si>
  <si>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</si>
  <si>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</si>
  <si>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</si>
  <si>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</si>
  <si>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</si>
  <si>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</si>
  <si>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</si>
  <si>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</si>
  <si>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</si>
  <si>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</si>
  <si>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</si>
  <si>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</si>
  <si>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ед.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</si>
  <si>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</si>
  <si>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Численность обучающихся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</si>
  <si>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</si>
  <si>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</si>
  <si>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Размер заработной платы в соответствии со ставкой заработной платы (с учетом индексации с 01.10.2023 года на 5,5%)</t>
  </si>
  <si>
    <t>2025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 (за работу в сельских населенных пунктах и рабочих поселках-5-дневная учебная неделя)</t>
  </si>
  <si>
    <t>2025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образования, при реализации адаптированных  образовательных программ среднего общего образования обучающимся с ОВЗ в классах с инклюзивным образованием (5-дневная рабочая неделя)</t>
  </si>
  <si>
    <t>2025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среднего общего образования, при реализации   образовательных программ среднего общего образования по очной форме обучения при обучении на дому (5-дневная рабочая неделя)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</si>
  <si>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дому, рассчитанный  на основании  постановления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</t>
  </si>
  <si>
    <t xml:space="preserve">19,2 % от ФОТ учителей </t>
  </si>
  <si>
    <t xml:space="preserve">24,0 % от ФОТ учителей </t>
  </si>
  <si>
    <t xml:space="preserve">22,7 % от ФОТ учителей  </t>
  </si>
  <si>
    <t>19,2 % от ФОТ учителей</t>
  </si>
  <si>
    <t>Приложение №58</t>
  </si>
  <si>
    <t>Приложение №59</t>
  </si>
  <si>
    <t>Приложение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</si>
</sst>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164" fontId="6" fillId="0" borderId="3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/>
    <xf numFmtId="164" fontId="4" fillId="0" borderId="4" xfId="0" applyNumberFormat="1" applyFont="1" applyFill="1" applyBorder="1" applyAlignment="1">
      <alignment vertical="center" wrapText="1"/>
    </xf>
    <xf numFmtId="164" fontId="6" fillId="0" borderId="8" xfId="0" applyNumberFormat="1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3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78" zoomScaleNormal="77" zoomScaleSheetLayoutView="78" workbookViewId="0">
      <pane xSplit="3" ySplit="6" topLeftCell="D4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RowHeight="15" x14ac:dyDescent="0.25"/>
  <cols>
    <col min="1" max="1" width="7.140625" style="6" customWidth="1"/>
    <col min="2" max="2" width="37.42578125" style="6" customWidth="1"/>
    <col min="3" max="3" width="13.7109375" style="6" customWidth="1"/>
    <col min="4" max="4" width="14.7109375" style="6" customWidth="1"/>
    <col min="5" max="5" width="15.14062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32.25" customHeight="1" x14ac:dyDescent="0.3">
      <c r="D1" s="46" t="s">
        <v>57</v>
      </c>
      <c r="E1" s="46"/>
      <c r="F1" s="46"/>
      <c r="G1" s="35"/>
    </row>
    <row r="2" spans="1:9" s="7" customFormat="1" ht="12.75" customHeight="1" x14ac:dyDescent="0.3">
      <c r="I2" s="23"/>
    </row>
    <row r="3" spans="1:9" s="7" customFormat="1" ht="120" customHeight="1" x14ac:dyDescent="0.3">
      <c r="A3" s="47" t="s">
        <v>49</v>
      </c>
      <c r="B3" s="47"/>
      <c r="C3" s="47"/>
      <c r="D3" s="47"/>
      <c r="E3" s="47"/>
      <c r="F3" s="47"/>
      <c r="G3" s="36"/>
      <c r="H3" s="36"/>
      <c r="I3" s="36"/>
    </row>
    <row r="5" spans="1:9" ht="15" customHeight="1" x14ac:dyDescent="0.25">
      <c r="A5" s="43" t="s">
        <v>1</v>
      </c>
      <c r="B5" s="45" t="s">
        <v>2</v>
      </c>
      <c r="C5" s="45" t="s">
        <v>3</v>
      </c>
      <c r="D5" s="48" t="s">
        <v>7</v>
      </c>
      <c r="E5" s="49"/>
      <c r="F5" s="8"/>
    </row>
    <row r="6" spans="1:9" ht="15" customHeight="1" x14ac:dyDescent="0.25">
      <c r="A6" s="44"/>
      <c r="B6" s="45"/>
      <c r="C6" s="45"/>
      <c r="D6" s="26" t="s">
        <v>30</v>
      </c>
      <c r="E6" s="26" t="s">
        <v>31</v>
      </c>
      <c r="F6" s="24" t="s">
        <v>0</v>
      </c>
    </row>
    <row r="7" spans="1:9" ht="30" customHeight="1" x14ac:dyDescent="0.25">
      <c r="A7" s="4"/>
      <c r="B7" s="39" t="s">
        <v>28</v>
      </c>
      <c r="C7" s="40"/>
      <c r="D7" s="9"/>
      <c r="E7" s="9"/>
      <c r="F7" s="9"/>
    </row>
    <row r="8" spans="1:9" ht="80.25" customHeight="1" x14ac:dyDescent="0.25">
      <c r="A8" s="4">
        <v>1</v>
      </c>
      <c r="B8" s="19" t="s">
        <v>47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1.89</v>
      </c>
      <c r="E9" s="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2">
        <v>3</v>
      </c>
      <c r="B10" s="3" t="s">
        <v>48</v>
      </c>
      <c r="C10" s="24" t="s">
        <v>6</v>
      </c>
      <c r="D10" s="2">
        <f>ROUND(14449*D9*1.055,2)</f>
        <v>28810.58</v>
      </c>
      <c r="E10" s="2">
        <f>ROUND(14449*E9*1.055,2)</f>
        <v>28810.58</v>
      </c>
      <c r="F10" s="2">
        <f t="shared" si="0"/>
        <v>57621.16</v>
      </c>
      <c r="G10" s="16"/>
      <c r="H10" s="16"/>
    </row>
    <row r="11" spans="1:9" ht="53.25" customHeight="1" x14ac:dyDescent="0.25">
      <c r="A11" s="5">
        <v>4</v>
      </c>
      <c r="B11" s="3" t="s">
        <v>23</v>
      </c>
      <c r="C11" s="5" t="s">
        <v>6</v>
      </c>
      <c r="D11" s="2">
        <f>ROUND(D10*0.25,2)</f>
        <v>7202.65</v>
      </c>
      <c r="E11" s="2">
        <f t="shared" ref="E11" si="2">ROUND(E10*0.25,2)</f>
        <v>7202.65</v>
      </c>
      <c r="F11" s="2">
        <f t="shared" si="0"/>
        <v>14405.3</v>
      </c>
      <c r="G11" s="16"/>
      <c r="H11" s="16"/>
    </row>
    <row r="12" spans="1:9" ht="51.75" customHeight="1" x14ac:dyDescent="0.25">
      <c r="A12" s="4">
        <v>5</v>
      </c>
      <c r="B12" s="3" t="s">
        <v>21</v>
      </c>
      <c r="C12" s="5" t="s">
        <v>6</v>
      </c>
      <c r="D12" s="2">
        <f>ROUND((D10)*0.2,2)</f>
        <v>5762.12</v>
      </c>
      <c r="E12" s="2">
        <f t="shared" ref="E12" si="3">ROUND((E10)*0.2,2)</f>
        <v>5762.12</v>
      </c>
      <c r="F12" s="2">
        <f t="shared" si="0"/>
        <v>11524.24</v>
      </c>
      <c r="G12" s="16"/>
      <c r="H12" s="16"/>
    </row>
    <row r="13" spans="1:9" ht="48.75" customHeight="1" x14ac:dyDescent="0.25">
      <c r="A13" s="5">
        <v>6</v>
      </c>
      <c r="B13" s="3" t="s">
        <v>22</v>
      </c>
      <c r="C13" s="5" t="s">
        <v>6</v>
      </c>
      <c r="D13" s="2">
        <f>ROUND(D10*0.2,2)</f>
        <v>5762.12</v>
      </c>
      <c r="E13" s="2">
        <f t="shared" ref="E13" si="4">ROUND(E10*0.2,2)</f>
        <v>5762.12</v>
      </c>
      <c r="F13" s="2">
        <f t="shared" si="0"/>
        <v>11524.24</v>
      </c>
      <c r="G13" s="16"/>
      <c r="H13" s="16"/>
    </row>
    <row r="14" spans="1:9" ht="60" x14ac:dyDescent="0.25">
      <c r="A14" s="25">
        <v>7</v>
      </c>
      <c r="B14" s="3" t="s">
        <v>26</v>
      </c>
      <c r="C14" s="24" t="s">
        <v>6</v>
      </c>
      <c r="D14" s="2">
        <f>ROUND((D10)*0.15,2)</f>
        <v>4321.59</v>
      </c>
      <c r="E14" s="2">
        <f t="shared" ref="E14" si="5">ROUND((E10)*0.15,2)</f>
        <v>4321.59</v>
      </c>
      <c r="F14" s="2">
        <f t="shared" si="0"/>
        <v>8643.18</v>
      </c>
      <c r="G14" s="17"/>
      <c r="H14" s="17"/>
    </row>
    <row r="15" spans="1:9" ht="45" x14ac:dyDescent="0.25">
      <c r="A15" s="24">
        <v>8</v>
      </c>
      <c r="B15" s="3" t="s">
        <v>25</v>
      </c>
      <c r="C15" s="24" t="s">
        <v>6</v>
      </c>
      <c r="D15" s="2">
        <f>ROUND(D10*0.01,2)</f>
        <v>288.11</v>
      </c>
      <c r="E15" s="2">
        <f t="shared" ref="E15" si="6">ROUND(E10*0.01,2)</f>
        <v>288.11</v>
      </c>
      <c r="F15" s="2">
        <f t="shared" si="0"/>
        <v>576.22</v>
      </c>
      <c r="G15" s="17"/>
      <c r="H15" s="17"/>
    </row>
    <row r="16" spans="1:9" ht="30" x14ac:dyDescent="0.25">
      <c r="A16" s="25">
        <v>9</v>
      </c>
      <c r="B16" s="3" t="s">
        <v>27</v>
      </c>
      <c r="C16" s="5" t="s">
        <v>6</v>
      </c>
      <c r="D16" s="5">
        <f>ROUND((D10+D11+D12+D13+D14+D15)*0.01,2)</f>
        <v>521.47</v>
      </c>
      <c r="E16" s="24">
        <f>ROUND((E10+E11+E12+E13+E14+E15)*0.01,2)</f>
        <v>521.47</v>
      </c>
      <c r="F16" s="2">
        <f t="shared" si="0"/>
        <v>1042.94</v>
      </c>
    </row>
    <row r="17" spans="1:7" ht="31.5" customHeight="1" x14ac:dyDescent="0.25">
      <c r="A17" s="24">
        <v>10</v>
      </c>
      <c r="B17" s="3" t="s">
        <v>11</v>
      </c>
      <c r="C17" s="5" t="s">
        <v>6</v>
      </c>
      <c r="D17" s="1">
        <f>ROUND((D10+D11+D12+D13+D14+D15+D16)*0.302,2)</f>
        <v>15905.93</v>
      </c>
      <c r="E17" s="1">
        <f>ROUND((E10+E11+E12+E13+E14+E15+E16)*0.302,2)</f>
        <v>15905.93</v>
      </c>
      <c r="F17" s="2">
        <f t="shared" si="0"/>
        <v>31811.86</v>
      </c>
    </row>
    <row r="18" spans="1:7" ht="30" x14ac:dyDescent="0.25">
      <c r="A18" s="25">
        <v>11</v>
      </c>
      <c r="B18" s="3" t="s">
        <v>8</v>
      </c>
      <c r="C18" s="5"/>
      <c r="D18" s="2"/>
      <c r="E18" s="2"/>
      <c r="F18" s="2"/>
    </row>
    <row r="19" spans="1:7" x14ac:dyDescent="0.25">
      <c r="A19" s="5"/>
      <c r="B19" s="14" t="s">
        <v>9</v>
      </c>
      <c r="C19" s="5" t="s">
        <v>6</v>
      </c>
      <c r="D19" s="2">
        <f>D10+D11+D12+D13+D14+D15+D16+D17</f>
        <v>68574.570000000007</v>
      </c>
      <c r="E19" s="2">
        <f>E10+E11+E12+E13+E14+E15+E16+E17</f>
        <v>68574.570000000007</v>
      </c>
      <c r="F19" s="2">
        <f>SUM(D19:E19)</f>
        <v>137149.14000000001</v>
      </c>
    </row>
    <row r="20" spans="1:7" x14ac:dyDescent="0.25">
      <c r="A20" s="13"/>
      <c r="B20" s="14" t="s">
        <v>10</v>
      </c>
      <c r="C20" s="5" t="s">
        <v>6</v>
      </c>
      <c r="D20" s="2">
        <f>ROUND(D19*12,2)</f>
        <v>822894.84</v>
      </c>
      <c r="E20" s="2">
        <f t="shared" ref="E20" si="7">ROUND(E19*12,2)</f>
        <v>822894.84</v>
      </c>
      <c r="F20" s="2">
        <f>SUM(D20:E20)</f>
        <v>1645789.68</v>
      </c>
      <c r="G20" s="17"/>
    </row>
    <row r="21" spans="1:7" ht="39.75" customHeight="1" x14ac:dyDescent="0.25">
      <c r="A21" s="13"/>
      <c r="B21" s="39" t="s">
        <v>29</v>
      </c>
      <c r="C21" s="40"/>
      <c r="D21" s="2"/>
      <c r="E21" s="2"/>
      <c r="F21" s="12"/>
    </row>
    <row r="22" spans="1:7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1" si="8">SUM(D22:E22)</f>
        <v>20</v>
      </c>
    </row>
    <row r="23" spans="1:7" ht="51" customHeight="1" x14ac:dyDescent="0.25">
      <c r="A23" s="5">
        <v>2</v>
      </c>
      <c r="B23" s="3" t="s">
        <v>5</v>
      </c>
      <c r="C23" s="5" t="s">
        <v>4</v>
      </c>
      <c r="D23" s="2">
        <f t="shared" ref="D23:E23" si="9">ROUND(D22/18,2)</f>
        <v>0.56000000000000005</v>
      </c>
      <c r="E23" s="2">
        <f t="shared" si="9"/>
        <v>0.56000000000000005</v>
      </c>
      <c r="F23" s="2">
        <f t="shared" si="8"/>
        <v>1.1200000000000001</v>
      </c>
    </row>
    <row r="24" spans="1:7" ht="60" x14ac:dyDescent="0.25">
      <c r="A24" s="4">
        <v>3</v>
      </c>
      <c r="B24" s="3" t="s">
        <v>48</v>
      </c>
      <c r="C24" s="5" t="s">
        <v>6</v>
      </c>
      <c r="D24" s="2">
        <f>ROUND(14449*D23*1.055,2)</f>
        <v>8536.4699999999993</v>
      </c>
      <c r="E24" s="2">
        <f>ROUND(14449*E23*1.055,2)</f>
        <v>8536.4699999999993</v>
      </c>
      <c r="F24" s="2">
        <f t="shared" si="8"/>
        <v>17072.939999999999</v>
      </c>
    </row>
    <row r="25" spans="1:7" ht="54" customHeight="1" x14ac:dyDescent="0.25">
      <c r="A25" s="5">
        <v>4</v>
      </c>
      <c r="B25" s="3" t="s">
        <v>20</v>
      </c>
      <c r="C25" s="5" t="s">
        <v>6</v>
      </c>
      <c r="D25" s="2">
        <f>ROUND(D24*0.25,2)</f>
        <v>2134.12</v>
      </c>
      <c r="E25" s="2">
        <f t="shared" ref="E25" si="10">ROUND(E24*0.25,2)</f>
        <v>2134.12</v>
      </c>
      <c r="F25" s="2">
        <f t="shared" si="8"/>
        <v>4268.24</v>
      </c>
    </row>
    <row r="26" spans="1:7" ht="64.5" customHeight="1" x14ac:dyDescent="0.25">
      <c r="A26" s="4">
        <v>5</v>
      </c>
      <c r="B26" s="3" t="s">
        <v>24</v>
      </c>
      <c r="C26" s="5" t="s">
        <v>6</v>
      </c>
      <c r="D26" s="2">
        <f>ROUND((D24)*0.2,2)</f>
        <v>1707.29</v>
      </c>
      <c r="E26" s="2">
        <f t="shared" ref="E26" si="11">ROUND((E24)*0.2,2)</f>
        <v>1707.29</v>
      </c>
      <c r="F26" s="2">
        <f t="shared" si="8"/>
        <v>3414.58</v>
      </c>
    </row>
    <row r="27" spans="1:7" ht="45" x14ac:dyDescent="0.25">
      <c r="A27" s="4">
        <v>6</v>
      </c>
      <c r="B27" s="3" t="s">
        <v>22</v>
      </c>
      <c r="C27" s="5" t="s">
        <v>6</v>
      </c>
      <c r="D27" s="2">
        <f>ROUND(D24*0.2,2)</f>
        <v>1707.29</v>
      </c>
      <c r="E27" s="2">
        <f t="shared" ref="E27" si="12">ROUND(E24*0.2,2)</f>
        <v>1707.29</v>
      </c>
      <c r="F27" s="2">
        <f t="shared" si="8"/>
        <v>3414.58</v>
      </c>
    </row>
    <row r="28" spans="1:7" ht="60" x14ac:dyDescent="0.25">
      <c r="A28" s="5">
        <v>7</v>
      </c>
      <c r="B28" s="3" t="s">
        <v>26</v>
      </c>
      <c r="C28" s="24" t="s">
        <v>6</v>
      </c>
      <c r="D28" s="2">
        <f>ROUND((D24)*0.15,2)</f>
        <v>1280.47</v>
      </c>
      <c r="E28" s="2">
        <f t="shared" ref="E28" si="13">ROUND((E24)*0.15,2)</f>
        <v>1280.47</v>
      </c>
      <c r="F28" s="2">
        <f t="shared" si="8"/>
        <v>2560.94</v>
      </c>
    </row>
    <row r="29" spans="1:7" ht="45" x14ac:dyDescent="0.25">
      <c r="A29" s="4">
        <v>8</v>
      </c>
      <c r="B29" s="3" t="s">
        <v>25</v>
      </c>
      <c r="C29" s="24" t="s">
        <v>6</v>
      </c>
      <c r="D29" s="2">
        <f>ROUND(D24*0.01,2)</f>
        <v>85.36</v>
      </c>
      <c r="E29" s="2">
        <f t="shared" ref="E29" si="14">ROUND(E24*0.01,2)</f>
        <v>85.36</v>
      </c>
      <c r="F29" s="2">
        <f t="shared" si="8"/>
        <v>170.72</v>
      </c>
    </row>
    <row r="30" spans="1:7" ht="30" x14ac:dyDescent="0.25">
      <c r="A30" s="24">
        <v>9</v>
      </c>
      <c r="B30" s="3" t="s">
        <v>27</v>
      </c>
      <c r="C30" s="5" t="s">
        <v>6</v>
      </c>
      <c r="D30" s="2">
        <f>ROUND((D24+D25+D26+D27+D28+D29)*0.01,2)</f>
        <v>154.51</v>
      </c>
      <c r="E30" s="2">
        <f>ROUND((E24+E25+E26+E27+E28+E29)*0.01,2)</f>
        <v>154.51</v>
      </c>
      <c r="F30" s="2">
        <f t="shared" si="8"/>
        <v>309.02</v>
      </c>
    </row>
    <row r="31" spans="1:7" ht="30" x14ac:dyDescent="0.25">
      <c r="A31" s="25">
        <v>10</v>
      </c>
      <c r="B31" s="3" t="s">
        <v>11</v>
      </c>
      <c r="C31" s="5" t="s">
        <v>6</v>
      </c>
      <c r="D31" s="1">
        <f>ROUND((D24+D25+D26+D27+D28+D29+D30)*0.302,2)</f>
        <v>4712.8599999999997</v>
      </c>
      <c r="E31" s="1">
        <f>ROUND((E24+E25+E26+E27+E28+E29+E30)*0.302,2)</f>
        <v>4712.8599999999997</v>
      </c>
      <c r="F31" s="2">
        <f t="shared" si="8"/>
        <v>9425.7199999999993</v>
      </c>
    </row>
    <row r="32" spans="1:7" ht="45" x14ac:dyDescent="0.25">
      <c r="A32" s="24">
        <v>11</v>
      </c>
      <c r="B32" s="3" t="s">
        <v>19</v>
      </c>
      <c r="C32" s="5"/>
      <c r="D32" s="2"/>
      <c r="E32" s="2"/>
      <c r="F32" s="2"/>
    </row>
    <row r="33" spans="1:6" x14ac:dyDescent="0.25">
      <c r="A33" s="13"/>
      <c r="B33" s="14" t="s">
        <v>9</v>
      </c>
      <c r="C33" s="5" t="s">
        <v>6</v>
      </c>
      <c r="D33" s="2">
        <f>D24+D25+D26+D27+D28+D29+D30+D31</f>
        <v>20318.370000000003</v>
      </c>
      <c r="E33" s="2">
        <f>E24+E25+E26+E27+E28+E29+E30+E31</f>
        <v>20318.370000000003</v>
      </c>
      <c r="F33" s="2">
        <f>SUM(D33:E33)</f>
        <v>40636.740000000005</v>
      </c>
    </row>
    <row r="34" spans="1:6" x14ac:dyDescent="0.25">
      <c r="A34" s="13"/>
      <c r="B34" s="14" t="s">
        <v>10</v>
      </c>
      <c r="C34" s="5" t="s">
        <v>6</v>
      </c>
      <c r="D34" s="2">
        <f t="shared" ref="D34:E34" si="15">ROUND(D33*12,2)</f>
        <v>243820.44</v>
      </c>
      <c r="E34" s="2">
        <f t="shared" si="15"/>
        <v>243820.44</v>
      </c>
      <c r="F34" s="2">
        <f>SUM(D34:E34)</f>
        <v>487640.88</v>
      </c>
    </row>
    <row r="35" spans="1:6" ht="19.5" customHeight="1" x14ac:dyDescent="0.25">
      <c r="A35" s="13"/>
      <c r="B35" s="41" t="s">
        <v>12</v>
      </c>
      <c r="C35" s="42"/>
      <c r="D35" s="13"/>
      <c r="E35" s="13"/>
      <c r="F35" s="2"/>
    </row>
    <row r="36" spans="1:6" x14ac:dyDescent="0.25">
      <c r="A36" s="13"/>
      <c r="B36" s="3" t="s">
        <v>56</v>
      </c>
      <c r="C36" s="5" t="s">
        <v>6</v>
      </c>
      <c r="D36" s="2">
        <f>ROUND((D20+D34)*0.192,2)</f>
        <v>204809.33</v>
      </c>
      <c r="E36" s="2">
        <f>ROUND((E20+E34)*0.192,2)</f>
        <v>204809.33</v>
      </c>
      <c r="F36" s="2">
        <f>SUM(D36:E36)</f>
        <v>409618.66</v>
      </c>
    </row>
    <row r="37" spans="1:6" ht="66" customHeight="1" x14ac:dyDescent="0.25">
      <c r="A37" s="13"/>
      <c r="B37" s="37" t="s">
        <v>14</v>
      </c>
      <c r="C37" s="38"/>
      <c r="D37" s="2"/>
      <c r="E37" s="2"/>
      <c r="F37" s="2"/>
    </row>
    <row r="38" spans="1:6" ht="25.5" customHeight="1" x14ac:dyDescent="0.25">
      <c r="A38" s="13"/>
      <c r="B38" s="3" t="s">
        <v>54</v>
      </c>
      <c r="C38" s="5" t="s">
        <v>6</v>
      </c>
      <c r="D38" s="2">
        <f>ROUND(0.24*(D20+D34),2)</f>
        <v>256011.67</v>
      </c>
      <c r="E38" s="2">
        <f>ROUND(0.24*(E20+E34),2)</f>
        <v>256011.67</v>
      </c>
      <c r="F38" s="2">
        <f>SUM(D38:E38)</f>
        <v>512023.34</v>
      </c>
    </row>
    <row r="39" spans="1:6" ht="66.75" customHeight="1" x14ac:dyDescent="0.25">
      <c r="A39" s="13"/>
      <c r="B39" s="37" t="s">
        <v>13</v>
      </c>
      <c r="C39" s="38"/>
      <c r="D39" s="13"/>
      <c r="E39" s="13"/>
      <c r="F39" s="2"/>
    </row>
    <row r="40" spans="1:6" ht="30.75" customHeight="1" x14ac:dyDescent="0.25">
      <c r="A40" s="13"/>
      <c r="B40" s="3" t="s">
        <v>55</v>
      </c>
      <c r="C40" s="5" t="s">
        <v>6</v>
      </c>
      <c r="D40" s="2">
        <f>ROUND(0.227*(D20+D34),2)</f>
        <v>242144.37</v>
      </c>
      <c r="E40" s="2">
        <f>ROUND(0.227*(E20+E34),2)</f>
        <v>242144.37</v>
      </c>
      <c r="F40" s="2">
        <f>SUM(D40:E40)</f>
        <v>484288.74</v>
      </c>
    </row>
    <row r="41" spans="1:6" ht="68.25" customHeight="1" x14ac:dyDescent="0.25">
      <c r="A41" s="13"/>
      <c r="B41" s="37" t="s">
        <v>15</v>
      </c>
      <c r="C41" s="38"/>
      <c r="D41" s="13"/>
      <c r="E41" s="13"/>
      <c r="F41" s="2"/>
    </row>
    <row r="42" spans="1:6" ht="15.75" x14ac:dyDescent="0.25">
      <c r="A42" s="13"/>
      <c r="B42" s="18"/>
      <c r="C42" s="5" t="s">
        <v>6</v>
      </c>
      <c r="D42" s="2">
        <f>D20+D36+D38+D40+D34</f>
        <v>1769680.65</v>
      </c>
      <c r="E42" s="2">
        <f>E20+E36+E38+E40+E34</f>
        <v>1769680.65</v>
      </c>
      <c r="F42" s="2">
        <f>SUM(D42:E42)</f>
        <v>3539361.3</v>
      </c>
    </row>
    <row r="43" spans="1:6" ht="30" customHeight="1" x14ac:dyDescent="0.25">
      <c r="A43" s="13"/>
      <c r="B43" s="30" t="s">
        <v>38</v>
      </c>
      <c r="C43" s="33" t="s">
        <v>39</v>
      </c>
      <c r="D43" s="12">
        <v>25</v>
      </c>
      <c r="E43" s="12">
        <v>25</v>
      </c>
      <c r="F43" s="12">
        <v>25</v>
      </c>
    </row>
    <row r="44" spans="1:6" ht="102.75" customHeight="1" x14ac:dyDescent="0.25">
      <c r="A44" s="13"/>
      <c r="B44" s="30" t="s">
        <v>41</v>
      </c>
      <c r="C44" s="33" t="s">
        <v>6</v>
      </c>
      <c r="D44" s="12"/>
      <c r="E44" s="12"/>
      <c r="F44" s="12">
        <f>ROUND(F42/F43/2,0)</f>
        <v>70787</v>
      </c>
    </row>
    <row r="45" spans="1:6" ht="100.5" customHeight="1" x14ac:dyDescent="0.25">
      <c r="A45" s="13"/>
      <c r="B45" s="30" t="s">
        <v>40</v>
      </c>
      <c r="C45" s="33" t="s">
        <v>6</v>
      </c>
      <c r="D45" s="2"/>
      <c r="E45" s="2"/>
      <c r="F45" s="12">
        <v>62965</v>
      </c>
    </row>
    <row r="46" spans="1:6" ht="174.75" customHeight="1" x14ac:dyDescent="0.25">
      <c r="A46" s="13"/>
      <c r="B46" s="31" t="s">
        <v>42</v>
      </c>
      <c r="C46" s="57" t="s">
        <v>43</v>
      </c>
      <c r="D46" s="2"/>
      <c r="E46" s="2"/>
      <c r="F46" s="15">
        <f>ROUND(F44/F45,3)</f>
        <v>1.1240000000000001</v>
      </c>
    </row>
    <row r="47" spans="1:6" ht="153" customHeight="1" x14ac:dyDescent="0.25">
      <c r="A47" s="21"/>
      <c r="B47" s="55"/>
      <c r="C47" s="55"/>
      <c r="D47" s="20"/>
      <c r="E47" s="20"/>
      <c r="F47" s="20"/>
    </row>
    <row r="48" spans="1:6" ht="53.25" customHeight="1" x14ac:dyDescent="0.25">
      <c r="A48" s="21"/>
      <c r="B48" s="55"/>
      <c r="C48" s="55"/>
      <c r="D48" s="56"/>
      <c r="E48" s="56"/>
      <c r="F48" s="20"/>
    </row>
    <row r="49" spans="4:7" x14ac:dyDescent="0.25">
      <c r="D49" s="20"/>
      <c r="E49" s="20"/>
      <c r="F49" s="20"/>
      <c r="G49" s="21"/>
    </row>
    <row r="50" spans="4:7" x14ac:dyDescent="0.25">
      <c r="D50" s="20"/>
      <c r="E50" s="20"/>
      <c r="F50" s="20"/>
      <c r="G50" s="21"/>
    </row>
  </sheetData>
  <mergeCells count="14">
    <mergeCell ref="D1:F1"/>
    <mergeCell ref="A3:F3"/>
    <mergeCell ref="B7:C7"/>
    <mergeCell ref="B48:C48"/>
    <mergeCell ref="B47:C47"/>
    <mergeCell ref="C5:C6"/>
    <mergeCell ref="D5:E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" right="0" top="0.55118110236220474" bottom="0" header="0" footer="0"/>
  <pageSetup paperSize="9" scale="56" orientation="portrait" r:id="rId1"/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78" zoomScaleNormal="77" zoomScaleSheetLayoutView="78" workbookViewId="0">
      <pane xSplit="3" ySplit="6" topLeftCell="D43" activePane="bottomRight" state="frozen"/>
      <selection pane="topRight" activeCell="D1" sqref="D1"/>
      <selection pane="bottomLeft" activeCell="A5" sqref="A5"/>
      <selection pane="bottomRight" activeCell="E2" sqref="E2"/>
    </sheetView>
  </sheetViews>
  <sheetFormatPr defaultRowHeight="15" x14ac:dyDescent="0.25"/>
  <cols>
    <col min="1" max="1" width="7.140625" style="6" customWidth="1"/>
    <col min="2" max="2" width="45.140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6" t="s">
        <v>58</v>
      </c>
      <c r="F1" s="46"/>
    </row>
    <row r="2" spans="1:9" s="7" customFormat="1" ht="18.75" x14ac:dyDescent="0.3">
      <c r="I2" s="23"/>
    </row>
    <row r="3" spans="1:9" s="7" customFormat="1" ht="111.75" customHeight="1" x14ac:dyDescent="0.3">
      <c r="A3" s="47" t="s">
        <v>50</v>
      </c>
      <c r="B3" s="47"/>
      <c r="C3" s="47"/>
      <c r="D3" s="47"/>
      <c r="E3" s="47"/>
      <c r="F3" s="47"/>
      <c r="G3" s="36"/>
      <c r="H3" s="36"/>
      <c r="I3" s="36"/>
    </row>
    <row r="5" spans="1:9" ht="15" customHeight="1" x14ac:dyDescent="0.25">
      <c r="A5" s="43" t="s">
        <v>1</v>
      </c>
      <c r="B5" s="45" t="s">
        <v>2</v>
      </c>
      <c r="C5" s="45" t="s">
        <v>3</v>
      </c>
      <c r="D5" s="48" t="s">
        <v>7</v>
      </c>
      <c r="E5" s="49"/>
      <c r="F5" s="8"/>
    </row>
    <row r="6" spans="1:9" ht="15" customHeight="1" x14ac:dyDescent="0.25">
      <c r="A6" s="44"/>
      <c r="B6" s="45"/>
      <c r="C6" s="45"/>
      <c r="D6" s="27" t="s">
        <v>30</v>
      </c>
      <c r="E6" s="27" t="s">
        <v>31</v>
      </c>
      <c r="F6" s="24" t="s">
        <v>0</v>
      </c>
    </row>
    <row r="7" spans="1:9" ht="30" customHeight="1" x14ac:dyDescent="0.25">
      <c r="A7" s="25"/>
      <c r="B7" s="39" t="s">
        <v>28</v>
      </c>
      <c r="C7" s="40"/>
      <c r="D7" s="9"/>
      <c r="E7" s="9"/>
      <c r="F7" s="9"/>
    </row>
    <row r="8" spans="1:9" ht="67.5" customHeight="1" x14ac:dyDescent="0.25">
      <c r="A8" s="25">
        <v>1</v>
      </c>
      <c r="B8" s="19" t="s">
        <v>47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24">
        <v>2</v>
      </c>
      <c r="B9" s="3" t="s">
        <v>16</v>
      </c>
      <c r="C9" s="24" t="s">
        <v>4</v>
      </c>
      <c r="D9" s="24">
        <f>ROUND(D8/18,2)</f>
        <v>1.89</v>
      </c>
      <c r="E9" s="24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5">
        <v>3</v>
      </c>
      <c r="B10" s="3" t="s">
        <v>48</v>
      </c>
      <c r="C10" s="24" t="s">
        <v>6</v>
      </c>
      <c r="D10" s="2">
        <f>ROUND(14449*D9*1.055,2)</f>
        <v>28810.58</v>
      </c>
      <c r="E10" s="2">
        <f>ROUND(14449*E9*1.055,2)</f>
        <v>28810.58</v>
      </c>
      <c r="F10" s="2">
        <f t="shared" si="0"/>
        <v>57621.16</v>
      </c>
      <c r="G10" s="16"/>
      <c r="H10" s="16"/>
    </row>
    <row r="11" spans="1:9" ht="53.25" customHeight="1" x14ac:dyDescent="0.25">
      <c r="A11" s="24">
        <v>4</v>
      </c>
      <c r="B11" s="3" t="s">
        <v>23</v>
      </c>
      <c r="C11" s="24" t="s">
        <v>6</v>
      </c>
      <c r="D11" s="2">
        <f>ROUND(D10*0.25,2)</f>
        <v>7202.65</v>
      </c>
      <c r="E11" s="2">
        <f t="shared" ref="E11" si="2">ROUND(E10*0.25,2)</f>
        <v>7202.65</v>
      </c>
      <c r="F11" s="2">
        <f t="shared" si="0"/>
        <v>14405.3</v>
      </c>
      <c r="G11" s="16"/>
      <c r="H11" s="16"/>
    </row>
    <row r="12" spans="1:9" ht="51.75" customHeight="1" x14ac:dyDescent="0.25">
      <c r="A12" s="25">
        <v>5</v>
      </c>
      <c r="B12" s="3" t="s">
        <v>21</v>
      </c>
      <c r="C12" s="24" t="s">
        <v>6</v>
      </c>
      <c r="D12" s="2">
        <f>ROUND((D10)*0.2,2)</f>
        <v>5762.12</v>
      </c>
      <c r="E12" s="2">
        <f t="shared" ref="E12" si="3">ROUND((E10)*0.2,2)</f>
        <v>5762.12</v>
      </c>
      <c r="F12" s="2">
        <f t="shared" si="0"/>
        <v>11524.24</v>
      </c>
      <c r="G12" s="16"/>
      <c r="H12" s="16"/>
    </row>
    <row r="13" spans="1:9" ht="48.75" customHeight="1" x14ac:dyDescent="0.25">
      <c r="A13" s="24">
        <v>6</v>
      </c>
      <c r="B13" s="3" t="s">
        <v>32</v>
      </c>
      <c r="C13" s="24" t="s">
        <v>6</v>
      </c>
      <c r="D13" s="2">
        <f>ROUND(D10*0.15,2)</f>
        <v>4321.59</v>
      </c>
      <c r="E13" s="2">
        <f t="shared" ref="E13" si="4">ROUND(E10*0.15,2)</f>
        <v>4321.59</v>
      </c>
      <c r="F13" s="2">
        <f t="shared" si="0"/>
        <v>8643.18</v>
      </c>
      <c r="G13" s="16"/>
      <c r="H13" s="16"/>
    </row>
    <row r="14" spans="1:9" ht="45" x14ac:dyDescent="0.25">
      <c r="A14" s="25">
        <v>7</v>
      </c>
      <c r="B14" s="3" t="s">
        <v>26</v>
      </c>
      <c r="C14" s="24" t="s">
        <v>6</v>
      </c>
      <c r="D14" s="2">
        <f>ROUND((D10)*0.15,2)</f>
        <v>4321.59</v>
      </c>
      <c r="E14" s="2">
        <f t="shared" ref="E14" si="5">ROUND((E10)*0.15,2)</f>
        <v>4321.59</v>
      </c>
      <c r="F14" s="2">
        <f t="shared" si="0"/>
        <v>8643.18</v>
      </c>
      <c r="G14" s="17"/>
      <c r="H14" s="17"/>
    </row>
    <row r="15" spans="1:9" ht="45" x14ac:dyDescent="0.25">
      <c r="A15" s="24">
        <v>8</v>
      </c>
      <c r="B15" s="3" t="s">
        <v>25</v>
      </c>
      <c r="C15" s="24" t="s">
        <v>6</v>
      </c>
      <c r="D15" s="2">
        <f>ROUND(D10*0.01,2)</f>
        <v>288.11</v>
      </c>
      <c r="E15" s="2">
        <f t="shared" ref="E15" si="6">ROUND(E10*0.01,2)</f>
        <v>288.11</v>
      </c>
      <c r="F15" s="2">
        <f t="shared" si="0"/>
        <v>576.22</v>
      </c>
      <c r="G15" s="17"/>
      <c r="H15" s="17"/>
    </row>
    <row r="16" spans="1:9" ht="30" x14ac:dyDescent="0.25">
      <c r="A16" s="25">
        <v>9</v>
      </c>
      <c r="B16" s="3" t="s">
        <v>27</v>
      </c>
      <c r="C16" s="24" t="s">
        <v>6</v>
      </c>
      <c r="D16" s="24">
        <f>ROUND((D10+D11+D12+D13+D14+D15)*0.01,2)</f>
        <v>507.07</v>
      </c>
      <c r="E16" s="24">
        <f>ROUND((E10+E11+E12+E13+E14+E15)*0.01,2)</f>
        <v>507.07</v>
      </c>
      <c r="F16" s="2">
        <f t="shared" si="0"/>
        <v>1014.14</v>
      </c>
    </row>
    <row r="17" spans="1:7" ht="31.5" customHeight="1" x14ac:dyDescent="0.25">
      <c r="A17" s="24">
        <v>10</v>
      </c>
      <c r="B17" s="3" t="s">
        <v>11</v>
      </c>
      <c r="C17" s="24" t="s">
        <v>6</v>
      </c>
      <c r="D17" s="1">
        <f>ROUND((D10+D11+D12+D13+D14+D15+D16)*0.302,2)</f>
        <v>15466.54</v>
      </c>
      <c r="E17" s="1">
        <f>ROUND((E10+E11+E12+E13+E14+E15+E16)*0.302,2)</f>
        <v>15466.54</v>
      </c>
      <c r="F17" s="2">
        <f t="shared" si="0"/>
        <v>30933.08</v>
      </c>
    </row>
    <row r="18" spans="1:7" x14ac:dyDescent="0.25">
      <c r="A18" s="25">
        <v>11</v>
      </c>
      <c r="B18" s="3" t="s">
        <v>8</v>
      </c>
      <c r="C18" s="24"/>
      <c r="D18" s="2"/>
      <c r="E18" s="2"/>
      <c r="F18" s="2"/>
    </row>
    <row r="19" spans="1:7" x14ac:dyDescent="0.25">
      <c r="A19" s="24"/>
      <c r="B19" s="14" t="s">
        <v>9</v>
      </c>
      <c r="C19" s="24" t="s">
        <v>6</v>
      </c>
      <c r="D19" s="2">
        <f>D10+D11+D12+D13+D14+D15+D16+D17</f>
        <v>66680.25</v>
      </c>
      <c r="E19" s="2">
        <f>E10+E11+E12+E13+E14+E15+E16+E17</f>
        <v>66680.25</v>
      </c>
      <c r="F19" s="2">
        <f>SUM(D19:E19)</f>
        <v>133360.5</v>
      </c>
    </row>
    <row r="20" spans="1:7" x14ac:dyDescent="0.25">
      <c r="A20" s="13"/>
      <c r="B20" s="14" t="s">
        <v>10</v>
      </c>
      <c r="C20" s="24" t="s">
        <v>6</v>
      </c>
      <c r="D20" s="2">
        <f t="shared" ref="D20:E20" si="7">ROUND(D19*12,2)</f>
        <v>800163</v>
      </c>
      <c r="E20" s="2">
        <f t="shared" si="7"/>
        <v>800163</v>
      </c>
      <c r="F20" s="2">
        <f>SUM(D20:E20)</f>
        <v>1600326</v>
      </c>
      <c r="G20" s="17"/>
    </row>
    <row r="21" spans="1:7" ht="39.75" customHeight="1" x14ac:dyDescent="0.25">
      <c r="A21" s="13"/>
      <c r="B21" s="39" t="s">
        <v>29</v>
      </c>
      <c r="C21" s="40"/>
      <c r="D21" s="2"/>
      <c r="E21" s="2"/>
      <c r="F21" s="12"/>
    </row>
    <row r="22" spans="1:7" ht="39" customHeight="1" x14ac:dyDescent="0.25">
      <c r="A22" s="25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0" si="8">SUM(D22:E22)</f>
        <v>20</v>
      </c>
    </row>
    <row r="23" spans="1:7" ht="51" customHeight="1" x14ac:dyDescent="0.25">
      <c r="A23" s="24">
        <v>2</v>
      </c>
      <c r="B23" s="3" t="s">
        <v>5</v>
      </c>
      <c r="C23" s="24" t="s">
        <v>4</v>
      </c>
      <c r="D23" s="2">
        <f t="shared" ref="D23:E23" si="9">ROUND(D22/18,2)</f>
        <v>0.56000000000000005</v>
      </c>
      <c r="E23" s="2">
        <f t="shared" si="9"/>
        <v>0.56000000000000005</v>
      </c>
      <c r="F23" s="2">
        <f t="shared" si="8"/>
        <v>1.1200000000000001</v>
      </c>
    </row>
    <row r="24" spans="1:7" ht="45" x14ac:dyDescent="0.25">
      <c r="A24" s="25">
        <v>3</v>
      </c>
      <c r="B24" s="3" t="s">
        <v>48</v>
      </c>
      <c r="C24" s="24" t="s">
        <v>6</v>
      </c>
      <c r="D24" s="2">
        <f>ROUND(14449*D23*1.055,2)</f>
        <v>8536.4699999999993</v>
      </c>
      <c r="E24" s="2">
        <f>ROUND(14449*E23*1.055,2)</f>
        <v>8536.4699999999993</v>
      </c>
      <c r="F24" s="2">
        <f t="shared" si="8"/>
        <v>17072.939999999999</v>
      </c>
    </row>
    <row r="25" spans="1:7" ht="54" customHeight="1" x14ac:dyDescent="0.25">
      <c r="A25" s="24">
        <v>4</v>
      </c>
      <c r="B25" s="3" t="s">
        <v>20</v>
      </c>
      <c r="C25" s="24" t="s">
        <v>6</v>
      </c>
      <c r="D25" s="2">
        <f>ROUND(D24*0.25,2)</f>
        <v>2134.12</v>
      </c>
      <c r="E25" s="2">
        <f t="shared" ref="E25" si="10">ROUND(E24*0.25,2)</f>
        <v>2134.12</v>
      </c>
      <c r="F25" s="2">
        <f t="shared" si="8"/>
        <v>4268.24</v>
      </c>
    </row>
    <row r="26" spans="1:7" ht="64.5" customHeight="1" x14ac:dyDescent="0.25">
      <c r="A26" s="25">
        <v>5</v>
      </c>
      <c r="B26" s="3" t="s">
        <v>24</v>
      </c>
      <c r="C26" s="24" t="s">
        <v>6</v>
      </c>
      <c r="D26" s="2">
        <f>ROUND((D24)*0.2,2)</f>
        <v>1707.29</v>
      </c>
      <c r="E26" s="2">
        <f t="shared" ref="E26" si="11">ROUND((E24)*0.2,2)</f>
        <v>1707.29</v>
      </c>
      <c r="F26" s="2">
        <f t="shared" si="8"/>
        <v>3414.58</v>
      </c>
    </row>
    <row r="27" spans="1:7" ht="45" x14ac:dyDescent="0.25">
      <c r="A27" s="24">
        <v>6</v>
      </c>
      <c r="B27" s="3" t="s">
        <v>26</v>
      </c>
      <c r="C27" s="24" t="s">
        <v>6</v>
      </c>
      <c r="D27" s="2">
        <f>ROUND((D24)*0.15,2)</f>
        <v>1280.47</v>
      </c>
      <c r="E27" s="2">
        <f>ROUND((E24)*0.15,2)</f>
        <v>1280.47</v>
      </c>
      <c r="F27" s="2">
        <f t="shared" si="8"/>
        <v>2560.94</v>
      </c>
    </row>
    <row r="28" spans="1:7" ht="45" x14ac:dyDescent="0.25">
      <c r="A28" s="25">
        <v>7</v>
      </c>
      <c r="B28" s="3" t="s">
        <v>25</v>
      </c>
      <c r="C28" s="24" t="s">
        <v>6</v>
      </c>
      <c r="D28" s="2">
        <f>ROUND(D24*0.01,2)</f>
        <v>85.36</v>
      </c>
      <c r="E28" s="2">
        <f>ROUND(E24*0.01,2)</f>
        <v>85.36</v>
      </c>
      <c r="F28" s="2">
        <f t="shared" si="8"/>
        <v>170.72</v>
      </c>
    </row>
    <row r="29" spans="1:7" ht="30" x14ac:dyDescent="0.25">
      <c r="A29" s="24">
        <v>8</v>
      </c>
      <c r="B29" s="3" t="s">
        <v>27</v>
      </c>
      <c r="C29" s="24" t="s">
        <v>6</v>
      </c>
      <c r="D29" s="2">
        <f>ROUND((D24+D25+D26+D27+D28)*0.01,2)</f>
        <v>137.44</v>
      </c>
      <c r="E29" s="2">
        <f>ROUND((E24+E25+E26+E27+E28)*0.01,2)</f>
        <v>137.44</v>
      </c>
      <c r="F29" s="2">
        <f t="shared" si="8"/>
        <v>274.88</v>
      </c>
    </row>
    <row r="30" spans="1:7" x14ac:dyDescent="0.25">
      <c r="A30" s="25">
        <v>9</v>
      </c>
      <c r="B30" s="3" t="s">
        <v>11</v>
      </c>
      <c r="C30" s="24" t="s">
        <v>6</v>
      </c>
      <c r="D30" s="1">
        <f>ROUND((D24+D25+D26+D27+D28+D29)*0.302,2)</f>
        <v>4192.1099999999997</v>
      </c>
      <c r="E30" s="1">
        <f>ROUND((E24+E25+E26+E27+E28+E29)*0.302,2)</f>
        <v>4192.1099999999997</v>
      </c>
      <c r="F30" s="2">
        <f t="shared" si="8"/>
        <v>8384.2199999999993</v>
      </c>
    </row>
    <row r="31" spans="1:7" ht="30" x14ac:dyDescent="0.25">
      <c r="A31" s="24">
        <v>10</v>
      </c>
      <c r="B31" s="3" t="s">
        <v>19</v>
      </c>
      <c r="C31" s="24"/>
      <c r="D31" s="2"/>
      <c r="E31" s="2"/>
      <c r="F31" s="2"/>
    </row>
    <row r="32" spans="1:7" x14ac:dyDescent="0.25">
      <c r="A32" s="13"/>
      <c r="B32" s="14" t="s">
        <v>9</v>
      </c>
      <c r="C32" s="24" t="s">
        <v>6</v>
      </c>
      <c r="D32" s="2">
        <f>D24+D25+D26+D27+D28+D29+D30</f>
        <v>18073.260000000002</v>
      </c>
      <c r="E32" s="2">
        <f>E24+E25+E26+E27+E28+E29+E30</f>
        <v>18073.260000000002</v>
      </c>
      <c r="F32" s="2">
        <f>SUM(D32:E32)</f>
        <v>36146.520000000004</v>
      </c>
    </row>
    <row r="33" spans="1:7" x14ac:dyDescent="0.25">
      <c r="A33" s="13"/>
      <c r="B33" s="14" t="s">
        <v>10</v>
      </c>
      <c r="C33" s="24" t="s">
        <v>6</v>
      </c>
      <c r="D33" s="2">
        <f t="shared" ref="D33" si="12">ROUND(D32*12,2)</f>
        <v>216879.12</v>
      </c>
      <c r="E33" s="2">
        <f t="shared" ref="E33" si="13">ROUND(E32*12,2)</f>
        <v>216879.12</v>
      </c>
      <c r="F33" s="2">
        <f>SUM(D33:E33)</f>
        <v>433758.24</v>
      </c>
    </row>
    <row r="34" spans="1:7" ht="15.75" x14ac:dyDescent="0.25">
      <c r="A34" s="13"/>
      <c r="B34" s="41" t="s">
        <v>12</v>
      </c>
      <c r="C34" s="42"/>
      <c r="D34" s="13"/>
      <c r="E34" s="13"/>
      <c r="F34" s="2"/>
    </row>
    <row r="35" spans="1:7" ht="19.5" customHeight="1" x14ac:dyDescent="0.25">
      <c r="A35" s="13"/>
      <c r="B35" s="3" t="s">
        <v>53</v>
      </c>
      <c r="C35" s="24" t="s">
        <v>6</v>
      </c>
      <c r="D35" s="2">
        <f>ROUND((D20+D33)*0.192,2)</f>
        <v>195272.09</v>
      </c>
      <c r="E35" s="2">
        <f>ROUND((E20+E33)*0.192,2)</f>
        <v>195272.09</v>
      </c>
      <c r="F35" s="2">
        <f>SUM(D35:E35)</f>
        <v>390544.18</v>
      </c>
    </row>
    <row r="36" spans="1:7" ht="15.75" x14ac:dyDescent="0.25">
      <c r="A36" s="13"/>
      <c r="B36" s="37" t="s">
        <v>14</v>
      </c>
      <c r="C36" s="38"/>
      <c r="D36" s="2"/>
      <c r="E36" s="2"/>
      <c r="F36" s="2"/>
    </row>
    <row r="37" spans="1:7" ht="66" customHeight="1" x14ac:dyDescent="0.25">
      <c r="A37" s="13"/>
      <c r="B37" s="3" t="s">
        <v>54</v>
      </c>
      <c r="C37" s="24" t="s">
        <v>6</v>
      </c>
      <c r="D37" s="2">
        <f>ROUND(0.24*(D20+D33),2)</f>
        <v>244090.11</v>
      </c>
      <c r="E37" s="2">
        <f>ROUND(0.24*(E20+E33),2)</f>
        <v>244090.11</v>
      </c>
      <c r="F37" s="2">
        <f>SUM(D37:E37)</f>
        <v>488180.22</v>
      </c>
    </row>
    <row r="38" spans="1:7" ht="25.5" customHeight="1" x14ac:dyDescent="0.25">
      <c r="A38" s="13"/>
      <c r="B38" s="37" t="s">
        <v>13</v>
      </c>
      <c r="C38" s="38"/>
      <c r="D38" s="13"/>
      <c r="E38" s="13"/>
      <c r="F38" s="2"/>
    </row>
    <row r="39" spans="1:7" ht="66.75" customHeight="1" x14ac:dyDescent="0.25">
      <c r="A39" s="13"/>
      <c r="B39" s="3" t="s">
        <v>55</v>
      </c>
      <c r="C39" s="24" t="s">
        <v>6</v>
      </c>
      <c r="D39" s="2">
        <f>ROUND(0.227*(D20+D33),2)</f>
        <v>230868.56</v>
      </c>
      <c r="E39" s="2">
        <f>ROUND(0.227*(E20+E33),2)</f>
        <v>230868.56</v>
      </c>
      <c r="F39" s="2">
        <f>SUM(D39:E39)</f>
        <v>461737.12</v>
      </c>
    </row>
    <row r="40" spans="1:7" ht="30.75" customHeight="1" x14ac:dyDescent="0.25">
      <c r="A40" s="13"/>
      <c r="B40" s="37" t="s">
        <v>15</v>
      </c>
      <c r="C40" s="38"/>
      <c r="D40" s="13"/>
      <c r="E40" s="13"/>
      <c r="F40" s="2"/>
    </row>
    <row r="41" spans="1:7" ht="68.25" customHeight="1" x14ac:dyDescent="0.25">
      <c r="A41" s="13"/>
      <c r="B41" s="18"/>
      <c r="C41" s="24" t="s">
        <v>6</v>
      </c>
      <c r="D41" s="2">
        <f>D20+D35+D37+D39+D33</f>
        <v>1687272.88</v>
      </c>
      <c r="E41" s="2">
        <f>E20+E35+E37+E39+E33</f>
        <v>1687272.88</v>
      </c>
      <c r="F41" s="2">
        <f>SUM(D41:E41)</f>
        <v>3374545.76</v>
      </c>
    </row>
    <row r="42" spans="1:7" ht="15.75" customHeight="1" x14ac:dyDescent="0.25">
      <c r="A42" s="13"/>
      <c r="B42" s="30" t="s">
        <v>38</v>
      </c>
      <c r="C42" s="33" t="s">
        <v>39</v>
      </c>
      <c r="D42" s="12">
        <v>25</v>
      </c>
      <c r="E42" s="12">
        <v>25</v>
      </c>
      <c r="F42" s="12">
        <v>25</v>
      </c>
    </row>
    <row r="43" spans="1:7" ht="48" customHeight="1" x14ac:dyDescent="0.25">
      <c r="A43" s="13"/>
      <c r="B43" s="30" t="s">
        <v>41</v>
      </c>
      <c r="C43" s="33" t="s">
        <v>6</v>
      </c>
      <c r="D43" s="12"/>
      <c r="E43" s="12"/>
      <c r="F43" s="12">
        <f>ROUND(F41/F42/2,0)</f>
        <v>67491</v>
      </c>
    </row>
    <row r="44" spans="1:7" ht="102.75" customHeight="1" x14ac:dyDescent="0.25">
      <c r="A44" s="13"/>
      <c r="B44" s="30" t="s">
        <v>40</v>
      </c>
      <c r="C44" s="33" t="s">
        <v>6</v>
      </c>
      <c r="D44" s="2"/>
      <c r="E44" s="2"/>
      <c r="F44" s="12">
        <v>62965</v>
      </c>
    </row>
    <row r="45" spans="1:7" ht="134.25" customHeight="1" x14ac:dyDescent="0.25">
      <c r="A45" s="50"/>
      <c r="B45" s="51" t="s">
        <v>44</v>
      </c>
      <c r="C45" s="52" t="s">
        <v>43</v>
      </c>
      <c r="D45" s="53"/>
      <c r="E45" s="53"/>
      <c r="F45" s="54">
        <f>ROUND(F43/F44,3)</f>
        <v>1.0720000000000001</v>
      </c>
    </row>
    <row r="46" spans="1:7" ht="75.75" customHeight="1" x14ac:dyDescent="0.25">
      <c r="A46" s="21"/>
      <c r="B46" s="55"/>
      <c r="C46" s="55"/>
      <c r="D46" s="20"/>
      <c r="E46" s="20"/>
      <c r="F46" s="20"/>
    </row>
    <row r="47" spans="1:7" ht="67.5" customHeight="1" x14ac:dyDescent="0.25">
      <c r="A47" s="21"/>
      <c r="B47" s="55"/>
      <c r="C47" s="55"/>
      <c r="D47" s="56"/>
      <c r="E47" s="56"/>
      <c r="F47" s="20"/>
    </row>
    <row r="48" spans="1:7" ht="53.25" customHeight="1" x14ac:dyDescent="0.25">
      <c r="D48" s="20"/>
      <c r="E48" s="20"/>
      <c r="F48" s="20"/>
      <c r="G48" s="21"/>
    </row>
    <row r="49" spans="4:7" x14ac:dyDescent="0.25">
      <c r="D49" s="20"/>
      <c r="E49" s="20"/>
      <c r="F49" s="20"/>
      <c r="G49" s="21"/>
    </row>
  </sheetData>
  <mergeCells count="14">
    <mergeCell ref="E1:F1"/>
    <mergeCell ref="B46:C46"/>
    <mergeCell ref="B47:C47"/>
    <mergeCell ref="A3:F3"/>
    <mergeCell ref="D5:E5"/>
    <mergeCell ref="B34:C34"/>
    <mergeCell ref="B36:C36"/>
    <mergeCell ref="B38:C38"/>
    <mergeCell ref="B21:C21"/>
    <mergeCell ref="A5:A6"/>
    <mergeCell ref="B5:B6"/>
    <mergeCell ref="C5:C6"/>
    <mergeCell ref="B7:C7"/>
    <mergeCell ref="B40:C40"/>
  </mergeCells>
  <printOptions horizontalCentered="1"/>
  <pageMargins left="0" right="0" top="0.55118110236220474" bottom="0" header="0" footer="0"/>
  <pageSetup paperSize="9" scale="60" orientation="portrait" r:id="rId1"/>
  <rowBreaks count="1" manualBreakCount="1">
    <brk id="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="78" zoomScaleNormal="77" zoomScaleSheetLayoutView="78" workbookViewId="0">
      <pane xSplit="3" ySplit="6" topLeftCell="D34" activePane="bottomRight" state="frozen"/>
      <selection pane="topRight" activeCell="D1" sqref="D1"/>
      <selection pane="bottomLeft" activeCell="A5" sqref="A5"/>
      <selection pane="bottomRight" activeCell="E2" sqref="E2"/>
    </sheetView>
  </sheetViews>
  <sheetFormatPr defaultRowHeight="15" x14ac:dyDescent="0.25"/>
  <cols>
    <col min="1" max="1" width="7.140625" style="6" customWidth="1"/>
    <col min="2" max="2" width="36.57031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6" t="s">
        <v>59</v>
      </c>
      <c r="F1" s="46"/>
      <c r="H1" s="46"/>
      <c r="I1" s="46"/>
    </row>
    <row r="2" spans="1:9" s="7" customFormat="1" ht="18.75" x14ac:dyDescent="0.3">
      <c r="I2" s="23"/>
    </row>
    <row r="3" spans="1:9" s="7" customFormat="1" ht="155.25" customHeight="1" x14ac:dyDescent="0.3">
      <c r="A3" s="47" t="s">
        <v>51</v>
      </c>
      <c r="B3" s="47"/>
      <c r="C3" s="47"/>
      <c r="D3" s="47"/>
      <c r="E3" s="47"/>
      <c r="F3" s="47"/>
      <c r="G3" s="36"/>
      <c r="H3" s="36"/>
      <c r="I3" s="36"/>
    </row>
    <row r="5" spans="1:9" ht="15" customHeight="1" x14ac:dyDescent="0.25">
      <c r="A5" s="43" t="s">
        <v>1</v>
      </c>
      <c r="B5" s="45" t="s">
        <v>2</v>
      </c>
      <c r="C5" s="45" t="s">
        <v>3</v>
      </c>
      <c r="D5" s="48" t="s">
        <v>7</v>
      </c>
      <c r="E5" s="49"/>
      <c r="F5" s="8"/>
    </row>
    <row r="6" spans="1:9" ht="15" customHeight="1" x14ac:dyDescent="0.25">
      <c r="A6" s="44"/>
      <c r="B6" s="45"/>
      <c r="C6" s="45"/>
      <c r="D6" s="28" t="s">
        <v>30</v>
      </c>
      <c r="E6" s="28" t="s">
        <v>31</v>
      </c>
      <c r="F6" s="24" t="s">
        <v>0</v>
      </c>
    </row>
    <row r="7" spans="1:9" ht="30" customHeight="1" x14ac:dyDescent="0.25">
      <c r="A7" s="25"/>
      <c r="B7" s="39" t="s">
        <v>28</v>
      </c>
      <c r="C7" s="40"/>
      <c r="D7" s="9"/>
      <c r="E7" s="9"/>
      <c r="F7" s="9"/>
    </row>
    <row r="8" spans="1:9" ht="81" customHeight="1" x14ac:dyDescent="0.25">
      <c r="A8" s="25">
        <v>1</v>
      </c>
      <c r="B8" s="19" t="s">
        <v>47</v>
      </c>
      <c r="C8" s="10" t="s">
        <v>17</v>
      </c>
      <c r="D8" s="11">
        <v>34</v>
      </c>
      <c r="E8" s="11">
        <v>34</v>
      </c>
      <c r="F8" s="12">
        <f>D8+E8</f>
        <v>68</v>
      </c>
      <c r="G8" s="16"/>
      <c r="H8" s="16"/>
    </row>
    <row r="9" spans="1:9" ht="77.25" customHeight="1" x14ac:dyDescent="0.25">
      <c r="A9" s="25">
        <v>2</v>
      </c>
      <c r="B9" s="19" t="s">
        <v>33</v>
      </c>
      <c r="C9" s="10" t="s">
        <v>17</v>
      </c>
      <c r="D9" s="11">
        <f>ROUND(D8*0.6,0)</f>
        <v>20</v>
      </c>
      <c r="E9" s="11">
        <f t="shared" ref="E9" si="0">ROUND(E8*0.6,0)</f>
        <v>20</v>
      </c>
      <c r="F9" s="12">
        <f t="shared" ref="F9:F19" si="1">D9+E9</f>
        <v>40</v>
      </c>
      <c r="G9" s="16"/>
      <c r="H9" s="16"/>
    </row>
    <row r="10" spans="1:9" ht="56.25" customHeight="1" x14ac:dyDescent="0.25">
      <c r="A10" s="24">
        <v>3</v>
      </c>
      <c r="B10" s="3" t="s">
        <v>34</v>
      </c>
      <c r="C10" s="24" t="s">
        <v>4</v>
      </c>
      <c r="D10" s="24">
        <f>ROUND(D9/18,2)</f>
        <v>1.1100000000000001</v>
      </c>
      <c r="E10" s="24">
        <f t="shared" ref="E10" si="2">ROUND(E9/18,2)</f>
        <v>1.1100000000000001</v>
      </c>
      <c r="F10" s="2">
        <f t="shared" si="1"/>
        <v>2.2200000000000002</v>
      </c>
      <c r="G10" s="16"/>
      <c r="H10" s="16"/>
    </row>
    <row r="11" spans="1:9" ht="80.25" customHeight="1" x14ac:dyDescent="0.25">
      <c r="A11" s="25">
        <v>4</v>
      </c>
      <c r="B11" s="3" t="s">
        <v>48</v>
      </c>
      <c r="C11" s="24" t="s">
        <v>6</v>
      </c>
      <c r="D11" s="2">
        <f>ROUND(14449*D10*1.055,2)</f>
        <v>16920.5</v>
      </c>
      <c r="E11" s="2">
        <f>ROUND(14449*E10*1.055,2)</f>
        <v>16920.5</v>
      </c>
      <c r="F11" s="2">
        <f t="shared" si="1"/>
        <v>33841</v>
      </c>
      <c r="G11" s="16"/>
      <c r="H11" s="16"/>
    </row>
    <row r="12" spans="1:9" ht="53.25" customHeight="1" x14ac:dyDescent="0.25">
      <c r="A12" s="24">
        <v>5</v>
      </c>
      <c r="B12" s="3" t="s">
        <v>23</v>
      </c>
      <c r="C12" s="24" t="s">
        <v>6</v>
      </c>
      <c r="D12" s="2">
        <f>ROUND(D11*0.25,2)</f>
        <v>4230.13</v>
      </c>
      <c r="E12" s="2">
        <f t="shared" ref="E12" si="3">ROUND(E11*0.25,2)</f>
        <v>4230.13</v>
      </c>
      <c r="F12" s="2">
        <f t="shared" si="1"/>
        <v>8460.26</v>
      </c>
      <c r="G12" s="16"/>
      <c r="H12" s="16"/>
    </row>
    <row r="13" spans="1:9" ht="51.75" customHeight="1" x14ac:dyDescent="0.25">
      <c r="A13" s="25">
        <v>6</v>
      </c>
      <c r="B13" s="3" t="s">
        <v>21</v>
      </c>
      <c r="C13" s="24" t="s">
        <v>6</v>
      </c>
      <c r="D13" s="2">
        <f>ROUND((D11)*0.2,2)</f>
        <v>3384.1</v>
      </c>
      <c r="E13" s="2">
        <f t="shared" ref="E13" si="4">ROUND((E11)*0.2,2)</f>
        <v>3384.1</v>
      </c>
      <c r="F13" s="2">
        <f t="shared" si="1"/>
        <v>6768.2</v>
      </c>
      <c r="G13" s="16"/>
      <c r="H13" s="16"/>
    </row>
    <row r="14" spans="1:9" ht="92.25" customHeight="1" x14ac:dyDescent="0.25">
      <c r="A14" s="24">
        <v>7</v>
      </c>
      <c r="B14" s="3" t="s">
        <v>37</v>
      </c>
      <c r="C14" s="24" t="s">
        <v>6</v>
      </c>
      <c r="D14" s="2">
        <f>ROUND(D11*0.125,2)</f>
        <v>2115.06</v>
      </c>
      <c r="E14" s="2">
        <f>ROUND(E11*0.125,2)</f>
        <v>2115.06</v>
      </c>
      <c r="F14" s="2">
        <f t="shared" si="1"/>
        <v>4230.12</v>
      </c>
      <c r="G14" s="16"/>
      <c r="H14" s="16"/>
    </row>
    <row r="15" spans="1:9" ht="30" x14ac:dyDescent="0.25">
      <c r="A15" s="25">
        <v>8</v>
      </c>
      <c r="B15" s="3" t="s">
        <v>27</v>
      </c>
      <c r="C15" s="24" t="s">
        <v>6</v>
      </c>
      <c r="D15" s="24">
        <f>ROUND((D11+D12+D13+D14)*0.01,2)</f>
        <v>266.5</v>
      </c>
      <c r="E15" s="24">
        <f>ROUND((E11+E12+E13+E14)*0.01,2)</f>
        <v>266.5</v>
      </c>
      <c r="F15" s="2">
        <f t="shared" si="1"/>
        <v>533</v>
      </c>
    </row>
    <row r="16" spans="1:9" ht="31.5" customHeight="1" x14ac:dyDescent="0.25">
      <c r="A16" s="24">
        <v>9</v>
      </c>
      <c r="B16" s="3" t="s">
        <v>11</v>
      </c>
      <c r="C16" s="24" t="s">
        <v>6</v>
      </c>
      <c r="D16" s="1">
        <f>ROUND((D11+D12+D13+D14+D15)*0.302,2)</f>
        <v>8128.72</v>
      </c>
      <c r="E16" s="1">
        <f>ROUND((E11+E12+E13+E14+E15)*0.302,2)</f>
        <v>8128.72</v>
      </c>
      <c r="F16" s="2">
        <f t="shared" si="1"/>
        <v>16257.44</v>
      </c>
    </row>
    <row r="17" spans="1:7" ht="30" x14ac:dyDescent="0.25">
      <c r="A17" s="25">
        <v>10</v>
      </c>
      <c r="B17" s="3" t="s">
        <v>8</v>
      </c>
      <c r="C17" s="24"/>
      <c r="D17" s="2"/>
      <c r="E17" s="2"/>
      <c r="F17" s="2">
        <f t="shared" si="1"/>
        <v>0</v>
      </c>
    </row>
    <row r="18" spans="1:7" x14ac:dyDescent="0.25">
      <c r="A18" s="24"/>
      <c r="B18" s="14" t="s">
        <v>9</v>
      </c>
      <c r="C18" s="24" t="s">
        <v>6</v>
      </c>
      <c r="D18" s="2">
        <f>D11+D12+D13+D14+D15+D16</f>
        <v>35045.01</v>
      </c>
      <c r="E18" s="2">
        <f>E11+E12+E13+E14+E15+E16</f>
        <v>35045.01</v>
      </c>
      <c r="F18" s="2">
        <f t="shared" si="1"/>
        <v>70090.02</v>
      </c>
    </row>
    <row r="19" spans="1:7" ht="31.5" customHeight="1" x14ac:dyDescent="0.25">
      <c r="A19" s="13"/>
      <c r="B19" s="14" t="s">
        <v>10</v>
      </c>
      <c r="C19" s="24" t="s">
        <v>6</v>
      </c>
      <c r="D19" s="2">
        <f t="shared" ref="D19:E19" si="5">ROUND(D18*12,2)</f>
        <v>420540.12</v>
      </c>
      <c r="E19" s="2">
        <f t="shared" si="5"/>
        <v>420540.12</v>
      </c>
      <c r="F19" s="2">
        <f t="shared" si="1"/>
        <v>841080.24</v>
      </c>
      <c r="G19" s="17"/>
    </row>
    <row r="20" spans="1:7" ht="15.75" x14ac:dyDescent="0.25">
      <c r="A20" s="13"/>
      <c r="B20" s="39" t="s">
        <v>35</v>
      </c>
      <c r="C20" s="40"/>
      <c r="D20" s="2"/>
      <c r="E20" s="2"/>
      <c r="F20" s="2"/>
    </row>
    <row r="21" spans="1:7" ht="30" x14ac:dyDescent="0.25">
      <c r="A21" s="25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f t="shared" ref="F21:F29" si="6">SUM(D21:E21)</f>
        <v>20</v>
      </c>
    </row>
    <row r="22" spans="1:7" ht="60" x14ac:dyDescent="0.25">
      <c r="A22" s="25">
        <v>2</v>
      </c>
      <c r="B22" s="19" t="s">
        <v>36</v>
      </c>
      <c r="C22" s="10" t="s">
        <v>17</v>
      </c>
      <c r="D22" s="12">
        <f>ROUND(D21*0.4,0)</f>
        <v>4</v>
      </c>
      <c r="E22" s="12">
        <f t="shared" ref="E22" si="7">ROUND(E21*0.4,0)</f>
        <v>4</v>
      </c>
      <c r="F22" s="12">
        <f t="shared" si="6"/>
        <v>8</v>
      </c>
    </row>
    <row r="23" spans="1:7" ht="39.75" customHeight="1" x14ac:dyDescent="0.25">
      <c r="A23" s="25">
        <v>3</v>
      </c>
      <c r="B23" s="3" t="s">
        <v>34</v>
      </c>
      <c r="C23" s="24" t="s">
        <v>4</v>
      </c>
      <c r="D23" s="2">
        <f>ROUND(D22/18,2)</f>
        <v>0.22</v>
      </c>
      <c r="E23" s="2">
        <f t="shared" ref="E23" si="8">ROUND(E22/18,2)</f>
        <v>0.22</v>
      </c>
      <c r="F23" s="2">
        <f t="shared" si="6"/>
        <v>0.44</v>
      </c>
    </row>
    <row r="24" spans="1:7" ht="63" customHeight="1" x14ac:dyDescent="0.25">
      <c r="A24" s="25">
        <v>4</v>
      </c>
      <c r="B24" s="3" t="s">
        <v>48</v>
      </c>
      <c r="C24" s="24" t="s">
        <v>6</v>
      </c>
      <c r="D24" s="2">
        <f>ROUND(14449*D23*1.055,2)</f>
        <v>3353.61</v>
      </c>
      <c r="E24" s="2">
        <f>ROUND(14449*E23*1.055,2)</f>
        <v>3353.61</v>
      </c>
      <c r="F24" s="2">
        <f t="shared" si="6"/>
        <v>6707.22</v>
      </c>
    </row>
    <row r="25" spans="1:7" ht="51" customHeight="1" x14ac:dyDescent="0.25">
      <c r="A25" s="25">
        <v>5</v>
      </c>
      <c r="B25" s="3" t="s">
        <v>20</v>
      </c>
      <c r="C25" s="24" t="s">
        <v>6</v>
      </c>
      <c r="D25" s="2">
        <f>ROUND(D24*0.25,2)</f>
        <v>838.4</v>
      </c>
      <c r="E25" s="2">
        <f t="shared" ref="E25" si="9">ROUND(E24*0.25,2)</f>
        <v>838.4</v>
      </c>
      <c r="F25" s="2">
        <f t="shared" si="6"/>
        <v>1676.8</v>
      </c>
    </row>
    <row r="26" spans="1:7" ht="51" customHeight="1" x14ac:dyDescent="0.25">
      <c r="A26" s="25">
        <v>6</v>
      </c>
      <c r="B26" s="3" t="s">
        <v>24</v>
      </c>
      <c r="C26" s="24" t="s">
        <v>6</v>
      </c>
      <c r="D26" s="2">
        <f>ROUND((D24)*0.2,2)</f>
        <v>670.72</v>
      </c>
      <c r="E26" s="2">
        <f t="shared" ref="E26" si="10">ROUND((E24)*0.2,2)</f>
        <v>670.72</v>
      </c>
      <c r="F26" s="2">
        <f t="shared" si="6"/>
        <v>1341.44</v>
      </c>
    </row>
    <row r="27" spans="1:7" ht="94.5" customHeight="1" x14ac:dyDescent="0.25">
      <c r="A27" s="25">
        <v>7</v>
      </c>
      <c r="B27" s="3" t="s">
        <v>37</v>
      </c>
      <c r="C27" s="24" t="s">
        <v>6</v>
      </c>
      <c r="D27" s="2">
        <f>ROUND(D24*0.125,2)</f>
        <v>419.2</v>
      </c>
      <c r="E27" s="2">
        <f>ROUND(E24*0.125,2)</f>
        <v>419.2</v>
      </c>
      <c r="F27" s="2">
        <f t="shared" si="6"/>
        <v>838.4</v>
      </c>
    </row>
    <row r="28" spans="1:7" ht="54" customHeight="1" x14ac:dyDescent="0.25">
      <c r="A28" s="25">
        <v>8</v>
      </c>
      <c r="B28" s="3" t="s">
        <v>27</v>
      </c>
      <c r="C28" s="24" t="s">
        <v>6</v>
      </c>
      <c r="D28" s="2">
        <f>ROUND((D24+D25+D26+D27)*0.01,2)</f>
        <v>52.82</v>
      </c>
      <c r="E28" s="2">
        <f>ROUND((E24+E25+E26+E27)*0.01,2)</f>
        <v>52.82</v>
      </c>
      <c r="F28" s="2">
        <f t="shared" si="6"/>
        <v>105.64</v>
      </c>
    </row>
    <row r="29" spans="1:7" ht="64.5" customHeight="1" x14ac:dyDescent="0.25">
      <c r="A29" s="25">
        <v>9</v>
      </c>
      <c r="B29" s="3" t="s">
        <v>11</v>
      </c>
      <c r="C29" s="24" t="s">
        <v>6</v>
      </c>
      <c r="D29" s="1">
        <f>ROUND((D24+D25+D26+D27+D28)*0.302,2)</f>
        <v>1611.09</v>
      </c>
      <c r="E29" s="1">
        <f>ROUND((E24+E25+E26+E27+E28)*0.302,2)</f>
        <v>1611.09</v>
      </c>
      <c r="F29" s="2">
        <f t="shared" si="6"/>
        <v>3222.18</v>
      </c>
    </row>
    <row r="30" spans="1:7" ht="45" x14ac:dyDescent="0.25">
      <c r="A30" s="25">
        <v>10</v>
      </c>
      <c r="B30" s="3" t="s">
        <v>19</v>
      </c>
      <c r="C30" s="24" t="s">
        <v>6</v>
      </c>
      <c r="D30" s="2"/>
      <c r="E30" s="2"/>
      <c r="F30" s="2"/>
    </row>
    <row r="31" spans="1:7" x14ac:dyDescent="0.25">
      <c r="A31" s="13"/>
      <c r="B31" s="14" t="s">
        <v>9</v>
      </c>
      <c r="C31" s="24" t="s">
        <v>6</v>
      </c>
      <c r="D31" s="2">
        <f>D24+D25+D26+D27+D28+D29</f>
        <v>6945.84</v>
      </c>
      <c r="E31" s="2">
        <f>E24+E25+E26+E27+E28+E29</f>
        <v>6945.84</v>
      </c>
      <c r="F31" s="2">
        <f>SUM(D31:E31)</f>
        <v>13891.68</v>
      </c>
    </row>
    <row r="32" spans="1:7" x14ac:dyDescent="0.25">
      <c r="A32" s="13"/>
      <c r="B32" s="14" t="s">
        <v>10</v>
      </c>
      <c r="C32" s="24" t="s">
        <v>6</v>
      </c>
      <c r="D32" s="2">
        <f t="shared" ref="D32:E32" si="11">ROUND(D31*12,2)</f>
        <v>83350.080000000002</v>
      </c>
      <c r="E32" s="2">
        <f t="shared" si="11"/>
        <v>83350.080000000002</v>
      </c>
      <c r="F32" s="2">
        <f>SUM(D32:E32)</f>
        <v>166700.16</v>
      </c>
    </row>
    <row r="33" spans="1:7" ht="15.75" x14ac:dyDescent="0.25">
      <c r="A33" s="13"/>
      <c r="B33" s="41" t="s">
        <v>12</v>
      </c>
      <c r="C33" s="42"/>
      <c r="D33" s="13"/>
      <c r="E33" s="13"/>
      <c r="F33" s="2"/>
    </row>
    <row r="34" spans="1:7" x14ac:dyDescent="0.25">
      <c r="A34" s="13"/>
      <c r="B34" s="3" t="s">
        <v>53</v>
      </c>
      <c r="C34" s="24" t="s">
        <v>6</v>
      </c>
      <c r="D34" s="2">
        <f>ROUND((D19+D32)*0.192,2)</f>
        <v>96746.92</v>
      </c>
      <c r="E34" s="2">
        <f>ROUND((E19+E32)*0.192,2)</f>
        <v>96746.92</v>
      </c>
      <c r="F34" s="2">
        <f>SUM(D34:E34)</f>
        <v>193493.84</v>
      </c>
    </row>
    <row r="35" spans="1:7" ht="15.75" x14ac:dyDescent="0.25">
      <c r="A35" s="13"/>
      <c r="B35" s="37" t="s">
        <v>15</v>
      </c>
      <c r="C35" s="38"/>
      <c r="D35" s="13"/>
      <c r="E35" s="13"/>
      <c r="F35" s="12"/>
    </row>
    <row r="36" spans="1:7" ht="15.75" x14ac:dyDescent="0.25">
      <c r="A36" s="13"/>
      <c r="B36" s="18"/>
      <c r="C36" s="24" t="s">
        <v>6</v>
      </c>
      <c r="D36" s="2">
        <f>D19+D34+D32</f>
        <v>600637.12</v>
      </c>
      <c r="E36" s="2">
        <f t="shared" ref="E36" si="12">E19+E34+E32</f>
        <v>600637.12</v>
      </c>
      <c r="F36" s="2">
        <f>SUM(D36:E36)</f>
        <v>1201274.24</v>
      </c>
    </row>
    <row r="37" spans="1:7" ht="15.75" x14ac:dyDescent="0.25">
      <c r="A37" s="13"/>
      <c r="B37" s="29" t="s">
        <v>45</v>
      </c>
      <c r="C37" s="32" t="s">
        <v>39</v>
      </c>
      <c r="D37" s="12">
        <v>1</v>
      </c>
      <c r="E37" s="12">
        <v>1</v>
      </c>
      <c r="F37" s="12">
        <v>1</v>
      </c>
    </row>
    <row r="38" spans="1:7" ht="90.75" customHeight="1" x14ac:dyDescent="0.25">
      <c r="A38" s="13"/>
      <c r="B38" s="29" t="s">
        <v>41</v>
      </c>
      <c r="C38" s="32" t="s">
        <v>6</v>
      </c>
      <c r="D38" s="12"/>
      <c r="E38" s="12"/>
      <c r="F38" s="12">
        <f>ROUND(F36/F37/2,0)</f>
        <v>600637</v>
      </c>
    </row>
    <row r="39" spans="1:7" ht="107.25" customHeight="1" x14ac:dyDescent="0.25">
      <c r="A39" s="13"/>
      <c r="B39" s="29" t="s">
        <v>40</v>
      </c>
      <c r="C39" s="32" t="s">
        <v>6</v>
      </c>
      <c r="D39" s="2"/>
      <c r="E39" s="2"/>
      <c r="F39" s="12">
        <v>62965</v>
      </c>
    </row>
    <row r="40" spans="1:7" ht="122.25" customHeight="1" x14ac:dyDescent="0.25">
      <c r="A40" s="13"/>
      <c r="B40" s="31" t="s">
        <v>46</v>
      </c>
      <c r="C40" s="34" t="s">
        <v>43</v>
      </c>
      <c r="D40" s="2"/>
      <c r="E40" s="2"/>
      <c r="F40" s="15">
        <f>ROUND(F38/F39,3)</f>
        <v>9.5389999999999997</v>
      </c>
    </row>
    <row r="41" spans="1:7" ht="138.75" customHeight="1" x14ac:dyDescent="0.25">
      <c r="A41" s="50"/>
      <c r="B41" s="58" t="s">
        <v>52</v>
      </c>
      <c r="C41" s="52" t="s">
        <v>43</v>
      </c>
      <c r="D41" s="59"/>
      <c r="E41" s="59"/>
      <c r="F41" s="54">
        <v>0.16200000000000001</v>
      </c>
    </row>
    <row r="42" spans="1:7" ht="43.5" customHeight="1" x14ac:dyDescent="0.25">
      <c r="A42" s="21"/>
      <c r="B42" s="55"/>
      <c r="C42" s="55"/>
      <c r="D42" s="56"/>
      <c r="E42" s="56"/>
      <c r="F42" s="20"/>
    </row>
    <row r="43" spans="1:7" ht="66.75" customHeight="1" x14ac:dyDescent="0.25">
      <c r="D43" s="20"/>
      <c r="E43" s="20"/>
      <c r="F43" s="20"/>
      <c r="G43" s="21"/>
    </row>
    <row r="44" spans="1:7" ht="30.75" customHeight="1" x14ac:dyDescent="0.25">
      <c r="D44" s="20"/>
      <c r="E44" s="20"/>
      <c r="F44" s="20"/>
      <c r="G44" s="21"/>
    </row>
    <row r="45" spans="1:7" ht="68.25" customHeight="1" x14ac:dyDescent="0.25"/>
    <row r="47" spans="1:7" ht="42" customHeight="1" x14ac:dyDescent="0.25"/>
    <row r="48" spans="1:7" ht="102.75" customHeight="1" x14ac:dyDescent="0.25"/>
    <row r="49" ht="100.5" customHeight="1" x14ac:dyDescent="0.25"/>
    <row r="50" ht="75.75" customHeight="1" x14ac:dyDescent="0.25"/>
    <row r="51" ht="67.5" customHeight="1" x14ac:dyDescent="0.25"/>
    <row r="52" ht="53.25" customHeight="1" x14ac:dyDescent="0.25"/>
  </sheetData>
  <mergeCells count="12">
    <mergeCell ref="E1:F1"/>
    <mergeCell ref="H1:I1"/>
    <mergeCell ref="B42:C42"/>
    <mergeCell ref="A3:F3"/>
    <mergeCell ref="D5:E5"/>
    <mergeCell ref="B20:C20"/>
    <mergeCell ref="B33:C33"/>
    <mergeCell ref="B35:C35"/>
    <mergeCell ref="A5:A6"/>
    <mergeCell ref="B5:B6"/>
    <mergeCell ref="C5:C6"/>
    <mergeCell ref="B7:C7"/>
  </mergeCells>
  <printOptions horizontalCentered="1"/>
  <pageMargins left="0" right="0" top="0.55118110236220474" bottom="0" header="0" footer="0"/>
  <pageSetup paperSize="9" scale="53" orientation="portrait" r:id="rId1"/>
  <rowBreaks count="2" manualBreakCount="2">
    <brk id="32" max="5" man="1"/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надомники'!Заголовки_для_печати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2023-05-10T12:48:44Z</dcterms:modified>
</cp:coreProperties>
</file>