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Город" sheetId="9" r:id="rId1"/>
    <sheet name="Село" sheetId="10" r:id="rId2"/>
  </sheets>
  <definedNames>
    <definedName name="_xlnm.Print_Titles" localSheetId="0">Город!$A:$B,Город!$3:$5</definedName>
    <definedName name="_xlnm.Print_Titles" localSheetId="1">Село!$A:$B,Село!$2:$4</definedName>
    <definedName name="_xlnm.Print_Area" localSheetId="0">Город!$A$1:$H$49</definedName>
    <definedName name="_xlnm.Print_Area" localSheetId="1">Село!$A$1:$D$47</definedName>
  </definedNames>
  <calcPr calcId="145621"/>
</workbook>
</file>

<file path=xl/calcChain.xml><?xml version="1.0" encoding="utf-8"?>
<calcChain xmlns="http://schemas.openxmlformats.org/spreadsheetml/2006/main">
  <c r="D44" i="10" l="1"/>
  <c r="D33" i="10"/>
  <c r="D20" i="10"/>
  <c r="D6" i="10"/>
  <c r="H34" i="9" l="1"/>
  <c r="F34" i="9"/>
  <c r="D34" i="9"/>
  <c r="H21" i="9"/>
  <c r="F21" i="9"/>
  <c r="D21" i="9"/>
  <c r="H7" i="9"/>
  <c r="F7" i="9"/>
  <c r="D7" i="9"/>
  <c r="D47" i="10" l="1"/>
  <c r="D7" i="10" l="1"/>
  <c r="D21" i="10"/>
  <c r="D22" i="10"/>
  <c r="D24" i="10"/>
  <c r="D25" i="10"/>
  <c r="D34" i="10"/>
  <c r="D37" i="10"/>
  <c r="D36" i="10" l="1"/>
  <c r="D35" i="10"/>
  <c r="D23" i="10"/>
  <c r="D9" i="10"/>
  <c r="D11" i="10"/>
  <c r="D8" i="10"/>
  <c r="D10" i="10"/>
  <c r="H39" i="9"/>
  <c r="F39" i="9"/>
  <c r="D39" i="9"/>
  <c r="D38" i="10" l="1"/>
  <c r="D40" i="10" s="1"/>
  <c r="D41" i="10" s="1"/>
  <c r="D26" i="10"/>
  <c r="D28" i="10" s="1"/>
  <c r="D13" i="10"/>
  <c r="D27" i="10"/>
  <c r="D12" i="10"/>
  <c r="D30" i="10" l="1"/>
  <c r="D31" i="10" s="1"/>
  <c r="D14" i="10"/>
  <c r="D15" i="10" s="1"/>
  <c r="D17" i="10" s="1"/>
  <c r="D18" i="10" s="1"/>
  <c r="F26" i="9"/>
  <c r="D25" i="9"/>
  <c r="D22" i="9"/>
  <c r="H22" i="9"/>
  <c r="D24" i="9"/>
  <c r="D26" i="9"/>
  <c r="F25" i="9"/>
  <c r="H24" i="9"/>
  <c r="H26" i="9"/>
  <c r="F22" i="9"/>
  <c r="H23" i="9"/>
  <c r="F24" i="9"/>
  <c r="H25" i="9"/>
  <c r="D42" i="10" l="1"/>
  <c r="D43" i="10" s="1"/>
  <c r="D45" i="10" s="1"/>
  <c r="F27" i="9"/>
  <c r="H27" i="9"/>
  <c r="D28" i="9"/>
  <c r="H28" i="9"/>
  <c r="D27" i="9"/>
  <c r="D29" i="9" s="1"/>
  <c r="F28" i="9"/>
  <c r="F29" i="9" s="1"/>
  <c r="F31" i="9"/>
  <c r="F32" i="9" s="1"/>
  <c r="D31" i="9"/>
  <c r="H31" i="9"/>
  <c r="H32" i="9" s="1"/>
  <c r="H29" i="9" l="1"/>
  <c r="D10" i="9" l="1"/>
  <c r="F10" i="9" l="1"/>
  <c r="D12" i="9"/>
  <c r="D11" i="9"/>
  <c r="H12" i="9"/>
  <c r="H11" i="9"/>
  <c r="F8" i="9"/>
  <c r="H9" i="9"/>
  <c r="F12" i="9"/>
  <c r="F11" i="9"/>
  <c r="D8" i="9"/>
  <c r="D14" i="9" s="1"/>
  <c r="H8" i="9"/>
  <c r="H10" i="9"/>
  <c r="F14" i="9" l="1"/>
  <c r="H14" i="9"/>
  <c r="H13" i="9"/>
  <c r="F13" i="9"/>
  <c r="D13" i="9"/>
  <c r="D15" i="9" s="1"/>
  <c r="D16" i="9" s="1"/>
  <c r="F15" i="9"/>
  <c r="F16" i="9" s="1"/>
  <c r="F18" i="9" s="1"/>
  <c r="H15" i="9"/>
  <c r="D18" i="9" l="1"/>
  <c r="H16" i="9"/>
  <c r="H18" i="9" s="1"/>
  <c r="H35" i="9" l="1"/>
  <c r="F36" i="9" l="1"/>
  <c r="F37" i="9" l="1"/>
  <c r="F38" i="9"/>
  <c r="D36" i="9"/>
  <c r="H36" i="9"/>
  <c r="F40" i="9" l="1"/>
  <c r="F42" i="9" s="1"/>
  <c r="F43" i="9" s="1"/>
  <c r="H37" i="9"/>
  <c r="H38" i="9"/>
  <c r="D37" i="9"/>
  <c r="D38" i="9"/>
  <c r="D40" i="9" l="1"/>
  <c r="D42" i="9" s="1"/>
  <c r="D43" i="9" s="1"/>
  <c r="H40" i="9"/>
  <c r="H42" i="9" s="1"/>
  <c r="H43" i="9" s="1"/>
  <c r="D19" i="9"/>
  <c r="H19" i="9"/>
  <c r="H44" i="9" l="1"/>
  <c r="D32" i="9"/>
  <c r="D44" i="9" s="1"/>
  <c r="F19" i="9"/>
  <c r="F44" i="9" s="1"/>
  <c r="D45" i="9" l="1"/>
  <c r="F45" i="9" l="1"/>
  <c r="H46" i="9" s="1"/>
  <c r="H49" i="9" s="1"/>
  <c r="H45" i="9"/>
  <c r="H47" i="9" s="1"/>
  <c r="D47" i="9" l="1"/>
</calcChain>
</file>

<file path=xl/sharedStrings.xml><?xml version="1.0" encoding="utf-8"?>
<sst xmlns="http://schemas.openxmlformats.org/spreadsheetml/2006/main" count="108" uniqueCount="47">
  <si>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</si>
  <si>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</si>
  <si>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</si>
  <si>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</si>
  <si>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</si>
  <si>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</si>
  <si>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</si>
  <si>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</si>
  <si>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</si>
  <si>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</si>
  <si>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>Расчетная наполняемость групп, чел./норматив на 1-го воспитанника в год, руб.:</t>
  </si>
  <si>
    <t xml:space="preserve"> Затраты на оплату труда воспитателей</t>
  </si>
  <si>
    <t>Размер заработной платы в соответствии с должностным окладом (с учетом индексации с 01.10.2022 года на 4,0%) и количеством штатных единиц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</si>
  <si>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</si>
  <si>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</si>
  <si>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</si>
  <si>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Размер заработной платы в соответствии со ставкой заработной платы (с учетом индексации с 01.10.2022 года на 4,0%) и количеством штатных единиц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</si>
  <si>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</si>
  <si>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</si>
  <si>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</si>
  <si>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</si>
  <si>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</si>
  <si>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</si>
  <si>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</si>
  <si>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</si>
  <si>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</si>
  <si>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</si>
  <si>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</si>
  <si>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</si>
  <si>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</si>
  <si>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</si>
  <si>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</si>
  <si>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</si>
  <si>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</si>
  <si>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</si>
  <si>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</si>
  <si>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</si>
  <si>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</si>
  <si>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</si>
  <si>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</si>
  <si>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</si>
  <si>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>Приложение №3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</si>
  <si>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2024 год в минимальном размере для соответствующего уровня образования и продолжительности работы учреждения, руб.</t>
  </si>
  <si>
    <t xml:space="preserve">2024 год-общеобразовательные  учреждения  в сельских населенных пунктах-при реализация основных общеобразовательных программ дошкольного образования 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</si>
  <si>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2024 год в минимальном размере для соответствующего уровня образования и продолжительности работы учреждения</t>
  </si>
  <si>
    <t>Значение показателей</t>
  </si>
  <si>
    <t xml:space="preserve">2024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</si>
</sst>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="69" zoomScaleNormal="81" zoomScaleSheetLayoutView="69" workbookViewId="0">
      <pane xSplit="2" ySplit="5" topLeftCell="C30" activePane="bottomRight" state="frozen"/>
      <selection pane="topRight" activeCell="D1" sqref="D1"/>
      <selection pane="bottomLeft" activeCell="A5" sqref="A5"/>
      <selection pane="bottomRight" activeCell="A3" sqref="A3:A5"/>
    </sheetView>
  </sheetViews>
  <sheetFormatPr defaultRowHeight="15" x14ac:dyDescent="0.25"/>
  <cols>
    <col min="1" max="1" width="6.28515625" style="2" customWidth="1"/>
    <col min="2" max="2" width="51.4257812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26" t="s">
        <v>41</v>
      </c>
      <c r="H1" s="26"/>
    </row>
    <row r="2" spans="1:11" ht="77.25" customHeight="1" x14ac:dyDescent="0.3">
      <c r="A2" s="28" t="s">
        <v>46</v>
      </c>
      <c r="B2" s="28"/>
      <c r="C2" s="28"/>
      <c r="D2" s="28"/>
      <c r="E2" s="28"/>
      <c r="F2" s="28"/>
      <c r="G2" s="28"/>
      <c r="H2" s="28"/>
      <c r="I2" s="3"/>
      <c r="J2" s="3"/>
      <c r="K2" s="3"/>
    </row>
    <row r="3" spans="1:11" ht="67.5" customHeight="1" x14ac:dyDescent="0.25">
      <c r="A3" s="29" t="s">
        <v>1</v>
      </c>
      <c r="B3" s="29" t="s">
        <v>0</v>
      </c>
      <c r="C3" s="32" t="s">
        <v>32</v>
      </c>
      <c r="D3" s="33"/>
      <c r="E3" s="33"/>
      <c r="F3" s="33"/>
      <c r="G3" s="33"/>
      <c r="H3" s="33"/>
    </row>
    <row r="4" spans="1:11" s="4" customFormat="1" ht="67.5" customHeight="1" x14ac:dyDescent="0.25">
      <c r="A4" s="30"/>
      <c r="B4" s="30"/>
      <c r="C4" s="27" t="s">
        <v>33</v>
      </c>
      <c r="D4" s="27"/>
      <c r="E4" s="27" t="s">
        <v>35</v>
      </c>
      <c r="F4" s="27"/>
      <c r="G4" s="27" t="s">
        <v>34</v>
      </c>
      <c r="H4" s="27"/>
    </row>
    <row r="5" spans="1:11" ht="48.75" customHeight="1" x14ac:dyDescent="0.25">
      <c r="A5" s="31"/>
      <c r="B5" s="31"/>
      <c r="C5" s="5" t="s">
        <v>2</v>
      </c>
      <c r="D5" s="6" t="s">
        <v>38</v>
      </c>
      <c r="E5" s="5" t="s">
        <v>2</v>
      </c>
      <c r="F5" s="6" t="s">
        <v>38</v>
      </c>
      <c r="G5" s="6" t="s">
        <v>2</v>
      </c>
      <c r="H5" s="6" t="s">
        <v>38</v>
      </c>
    </row>
    <row r="6" spans="1:11" ht="31.5" customHeight="1" x14ac:dyDescent="0.25">
      <c r="A6" s="5"/>
      <c r="B6" s="24" t="s">
        <v>11</v>
      </c>
      <c r="C6" s="25"/>
      <c r="D6" s="6"/>
      <c r="E6" s="5"/>
      <c r="F6" s="6"/>
      <c r="G6" s="6"/>
      <c r="H6" s="6"/>
    </row>
    <row r="7" spans="1:11" ht="58.5" customHeight="1" x14ac:dyDescent="0.25">
      <c r="A7" s="7">
        <v>1</v>
      </c>
      <c r="B7" s="8" t="s">
        <v>16</v>
      </c>
      <c r="C7" s="1">
        <v>2</v>
      </c>
      <c r="D7" s="1">
        <f>ROUND(13242*C7*1.04,2)</f>
        <v>27543.360000000001</v>
      </c>
      <c r="E7" s="1">
        <v>2</v>
      </c>
      <c r="F7" s="1">
        <f>ROUND(13242*E7*1.04,2)</f>
        <v>27543.360000000001</v>
      </c>
      <c r="G7" s="1">
        <v>2.4</v>
      </c>
      <c r="H7" s="1">
        <f>ROUND(13242*G7*1.04,2)</f>
        <v>33052.03</v>
      </c>
    </row>
    <row r="8" spans="1:11" ht="37.5" customHeight="1" x14ac:dyDescent="0.25">
      <c r="A8" s="7">
        <v>2</v>
      </c>
      <c r="B8" s="8" t="s">
        <v>17</v>
      </c>
      <c r="C8" s="1"/>
      <c r="D8" s="1">
        <f>ROUND(D7*0.25,2)</f>
        <v>6885.84</v>
      </c>
      <c r="E8" s="1"/>
      <c r="F8" s="1">
        <f>ROUND(F7*0.25,2)</f>
        <v>6885.84</v>
      </c>
      <c r="G8" s="1"/>
      <c r="H8" s="1">
        <f>ROUND(H7*0.25,2)</f>
        <v>8263.01</v>
      </c>
    </row>
    <row r="9" spans="1:11" ht="39.75" customHeight="1" x14ac:dyDescent="0.25">
      <c r="A9" s="7">
        <v>3</v>
      </c>
      <c r="B9" s="8" t="s">
        <v>18</v>
      </c>
      <c r="C9" s="1"/>
      <c r="D9" s="1"/>
      <c r="E9" s="1"/>
      <c r="F9" s="1"/>
      <c r="G9" s="1"/>
      <c r="H9" s="1">
        <f>ROUND(H7*0.1,2)</f>
        <v>3305.2</v>
      </c>
    </row>
    <row r="10" spans="1:11" ht="35.25" customHeight="1" x14ac:dyDescent="0.25">
      <c r="A10" s="7">
        <v>4</v>
      </c>
      <c r="B10" s="8" t="s">
        <v>25</v>
      </c>
      <c r="C10" s="9"/>
      <c r="D10" s="1">
        <f>ROUND(D7*0.2,2)</f>
        <v>5508.67</v>
      </c>
      <c r="E10" s="9"/>
      <c r="F10" s="1">
        <f>ROUND(F7*0.2,2)</f>
        <v>5508.67</v>
      </c>
      <c r="G10" s="9"/>
      <c r="H10" s="1">
        <f>ROUND(H7*0.2,2)</f>
        <v>6610.41</v>
      </c>
    </row>
    <row r="11" spans="1:11" ht="46.5" customHeight="1" x14ac:dyDescent="0.25">
      <c r="A11" s="7">
        <v>5</v>
      </c>
      <c r="B11" s="8" t="s">
        <v>19</v>
      </c>
      <c r="C11" s="1"/>
      <c r="D11" s="1">
        <f>ROUND((D7)*0.05,2)</f>
        <v>1377.17</v>
      </c>
      <c r="E11" s="1"/>
      <c r="F11" s="1">
        <f t="shared" ref="F11:H11" si="0">ROUND((F7)*0.05,2)</f>
        <v>1377.17</v>
      </c>
      <c r="G11" s="1"/>
      <c r="H11" s="1">
        <f t="shared" si="0"/>
        <v>1652.6</v>
      </c>
    </row>
    <row r="12" spans="1:11" ht="50.25" customHeight="1" x14ac:dyDescent="0.25">
      <c r="A12" s="7">
        <v>6</v>
      </c>
      <c r="B12" s="8" t="s">
        <v>14</v>
      </c>
      <c r="C12" s="1"/>
      <c r="D12" s="1">
        <f>ROUND(D7*0.6,2)</f>
        <v>16526.02</v>
      </c>
      <c r="E12" s="1"/>
      <c r="F12" s="1">
        <f>ROUND(F7*0.6,2)</f>
        <v>16526.02</v>
      </c>
      <c r="G12" s="1"/>
      <c r="H12" s="1">
        <f>ROUND(H7*0.6,2)</f>
        <v>19831.22</v>
      </c>
    </row>
    <row r="13" spans="1:11" ht="49.5" customHeight="1" x14ac:dyDescent="0.25">
      <c r="A13" s="7">
        <v>7</v>
      </c>
      <c r="B13" s="8" t="s">
        <v>21</v>
      </c>
      <c r="C13" s="1"/>
      <c r="D13" s="1">
        <f>ROUND((D7+D8+D9+D10+D11)*0.05,2)</f>
        <v>2065.75</v>
      </c>
      <c r="E13" s="1"/>
      <c r="F13" s="1">
        <f t="shared" ref="F13:H13" si="1">ROUND((F7+F8+F9+F10+F11)*0.05,2)</f>
        <v>2065.75</v>
      </c>
      <c r="G13" s="1"/>
      <c r="H13" s="1">
        <f t="shared" si="1"/>
        <v>2644.16</v>
      </c>
    </row>
    <row r="14" spans="1:11" ht="51.75" customHeight="1" x14ac:dyDescent="0.25">
      <c r="A14" s="7">
        <v>8</v>
      </c>
      <c r="B14" s="8" t="s">
        <v>22</v>
      </c>
      <c r="C14" s="7"/>
      <c r="D14" s="7">
        <f>ROUND((D7+D8+D9+D10+D11)*0.01,2)</f>
        <v>413.15</v>
      </c>
      <c r="E14" s="7"/>
      <c r="F14" s="7">
        <f t="shared" ref="F14:H14" si="2">ROUND((F7+F8+F9+F10+F11)*0.01,2)</f>
        <v>413.15</v>
      </c>
      <c r="G14" s="7"/>
      <c r="H14" s="7">
        <f t="shared" si="2"/>
        <v>528.83000000000004</v>
      </c>
    </row>
    <row r="15" spans="1:11" ht="19.5" customHeight="1" x14ac:dyDescent="0.25">
      <c r="A15" s="7">
        <v>9</v>
      </c>
      <c r="B15" s="10" t="s">
        <v>9</v>
      </c>
      <c r="C15" s="1"/>
      <c r="D15" s="1">
        <f>ROUND((D7+D8+D9+D10+D11+D12+D13)/29.3*42/12,2)</f>
        <v>7156.1</v>
      </c>
      <c r="E15" s="1"/>
      <c r="F15" s="1">
        <f>ROUND((F7+F8+F9+F10+F11+F12+F13)/29.3*42/12,2)</f>
        <v>7156.1</v>
      </c>
      <c r="G15" s="1"/>
      <c r="H15" s="1">
        <f>ROUND((H7+H8+H9+H10+H11+H12+H13)/29.3*42/12,2)</f>
        <v>9001.8799999999992</v>
      </c>
    </row>
    <row r="16" spans="1:11" ht="21.75" customHeight="1" x14ac:dyDescent="0.25">
      <c r="A16" s="7">
        <v>10</v>
      </c>
      <c r="B16" s="8" t="s">
        <v>3</v>
      </c>
      <c r="C16" s="11"/>
      <c r="D16" s="11">
        <f>ROUND((D7+D8+D9+D10+D11+D12+D13+D14+D15)*0.302,2)</f>
        <v>20377.77</v>
      </c>
      <c r="E16" s="11"/>
      <c r="F16" s="11">
        <f>ROUND((F7+F8+F9+F10+F11+F12+F13+F14+F15)*0.302,2)</f>
        <v>20377.77</v>
      </c>
      <c r="G16" s="11"/>
      <c r="H16" s="11">
        <f>ROUND((H7+H8+H9+H10+H11+H12+H13+H14+H15)*0.302,2)</f>
        <v>25636.58</v>
      </c>
    </row>
    <row r="17" spans="1:8" ht="25.5" customHeight="1" x14ac:dyDescent="0.25">
      <c r="A17" s="7">
        <v>11</v>
      </c>
      <c r="B17" s="8" t="s">
        <v>6</v>
      </c>
      <c r="C17" s="1"/>
      <c r="D17" s="1"/>
      <c r="E17" s="1"/>
      <c r="F17" s="1"/>
      <c r="G17" s="1"/>
      <c r="H17" s="1"/>
    </row>
    <row r="18" spans="1:8" ht="16.5" customHeight="1" x14ac:dyDescent="0.25">
      <c r="A18" s="10"/>
      <c r="B18" s="12" t="s">
        <v>4</v>
      </c>
      <c r="C18" s="1"/>
      <c r="D18" s="1">
        <f>D7+D8+D9+D10+D11+D12+D13+D14+D16+D15</f>
        <v>87853.83</v>
      </c>
      <c r="E18" s="1"/>
      <c r="F18" s="1">
        <f>F7+F8+F9+F10+F11+F12+F13+F14+F16+F15</f>
        <v>87853.83</v>
      </c>
      <c r="G18" s="1"/>
      <c r="H18" s="1">
        <f>H7+H8+H9+H10+H11+H12+H13+H14+H16+H15</f>
        <v>110525.92000000001</v>
      </c>
    </row>
    <row r="19" spans="1:8" ht="21.75" customHeight="1" x14ac:dyDescent="0.25">
      <c r="A19" s="10"/>
      <c r="B19" s="12" t="s">
        <v>5</v>
      </c>
      <c r="C19" s="1"/>
      <c r="D19" s="1">
        <f t="shared" ref="D19:H19" si="3">ROUND(D18*12,2)</f>
        <v>1054245.96</v>
      </c>
      <c r="E19" s="1"/>
      <c r="F19" s="1">
        <f t="shared" si="3"/>
        <v>1054245.96</v>
      </c>
      <c r="G19" s="1"/>
      <c r="H19" s="1">
        <f t="shared" si="3"/>
        <v>1326311.04</v>
      </c>
    </row>
    <row r="20" spans="1:8" ht="27.75" customHeight="1" x14ac:dyDescent="0.25">
      <c r="A20" s="10"/>
      <c r="B20" s="24" t="s">
        <v>15</v>
      </c>
      <c r="C20" s="25"/>
      <c r="D20" s="13"/>
      <c r="E20" s="10"/>
      <c r="F20" s="13"/>
      <c r="G20" s="10"/>
      <c r="H20" s="13"/>
    </row>
    <row r="21" spans="1:8" ht="70.5" customHeight="1" x14ac:dyDescent="0.25">
      <c r="A21" s="7">
        <v>1</v>
      </c>
      <c r="B21" s="8" t="s">
        <v>16</v>
      </c>
      <c r="C21" s="7">
        <v>0.25</v>
      </c>
      <c r="D21" s="1">
        <f>ROUND(12041*1.04*C21,2)</f>
        <v>3130.66</v>
      </c>
      <c r="E21" s="7">
        <v>0.25</v>
      </c>
      <c r="F21" s="1">
        <f>ROUND(12041*1.04*E21,2)</f>
        <v>3130.66</v>
      </c>
      <c r="G21" s="7">
        <v>0.25</v>
      </c>
      <c r="H21" s="1">
        <f>ROUND(12041*1.04*G21,2)</f>
        <v>3130.66</v>
      </c>
    </row>
    <row r="22" spans="1:8" ht="33.75" customHeight="1" x14ac:dyDescent="0.25">
      <c r="A22" s="7">
        <v>2</v>
      </c>
      <c r="B22" s="8" t="s">
        <v>17</v>
      </c>
      <c r="C22" s="10"/>
      <c r="D22" s="1">
        <f>ROUND(D21*0.25,2)</f>
        <v>782.67</v>
      </c>
      <c r="E22" s="10"/>
      <c r="F22" s="1">
        <f>ROUND(F21*0.25,2)</f>
        <v>782.67</v>
      </c>
      <c r="G22" s="10"/>
      <c r="H22" s="1">
        <f>ROUND(H21*0.25,2)</f>
        <v>782.67</v>
      </c>
    </row>
    <row r="23" spans="1:8" ht="33" customHeight="1" x14ac:dyDescent="0.25">
      <c r="A23" s="7">
        <v>3</v>
      </c>
      <c r="B23" s="8" t="s">
        <v>18</v>
      </c>
      <c r="C23" s="10"/>
      <c r="D23" s="1"/>
      <c r="E23" s="10"/>
      <c r="F23" s="1"/>
      <c r="G23" s="10"/>
      <c r="H23" s="1">
        <f>ROUND(H21*0.1,2)</f>
        <v>313.07</v>
      </c>
    </row>
    <row r="24" spans="1:8" ht="33" customHeight="1" x14ac:dyDescent="0.25">
      <c r="A24" s="7">
        <v>4</v>
      </c>
      <c r="B24" s="8" t="s">
        <v>25</v>
      </c>
      <c r="C24" s="10"/>
      <c r="D24" s="1">
        <f>ROUND(D21*0.2,2)</f>
        <v>626.13</v>
      </c>
      <c r="E24" s="10"/>
      <c r="F24" s="1">
        <f>ROUND(F21*0.2,2)</f>
        <v>626.13</v>
      </c>
      <c r="G24" s="10"/>
      <c r="H24" s="1">
        <f>ROUND(H21*0.2,2)</f>
        <v>626.13</v>
      </c>
    </row>
    <row r="25" spans="1:8" ht="45.75" customHeight="1" x14ac:dyDescent="0.25">
      <c r="A25" s="7">
        <v>5</v>
      </c>
      <c r="B25" s="8" t="s">
        <v>19</v>
      </c>
      <c r="C25" s="1"/>
      <c r="D25" s="1">
        <f>ROUND((D21)*0.05,2)</f>
        <v>156.53</v>
      </c>
      <c r="E25" s="1"/>
      <c r="F25" s="1">
        <f>ROUND((F21)*0.05,2)</f>
        <v>156.53</v>
      </c>
      <c r="G25" s="1"/>
      <c r="H25" s="1">
        <f>ROUND((H21)*0.05,2)</f>
        <v>156.53</v>
      </c>
    </row>
    <row r="26" spans="1:8" ht="42" customHeight="1" x14ac:dyDescent="0.25">
      <c r="A26" s="7">
        <v>6</v>
      </c>
      <c r="B26" s="8" t="s">
        <v>14</v>
      </c>
      <c r="C26" s="1"/>
      <c r="D26" s="1">
        <f>ROUND(D21*0.6,2)</f>
        <v>1878.4</v>
      </c>
      <c r="E26" s="1"/>
      <c r="F26" s="1">
        <f>ROUND(F21*0.6,2)</f>
        <v>1878.4</v>
      </c>
      <c r="G26" s="1"/>
      <c r="H26" s="1">
        <f>ROUND(H21*0.6,2)</f>
        <v>1878.4</v>
      </c>
    </row>
    <row r="27" spans="1:8" ht="56.25" customHeight="1" x14ac:dyDescent="0.25">
      <c r="A27" s="7">
        <v>7</v>
      </c>
      <c r="B27" s="8" t="s">
        <v>21</v>
      </c>
      <c r="C27" s="1"/>
      <c r="D27" s="1">
        <f>ROUND((D21+D22+D23+D24+D25)*0.05,2)</f>
        <v>234.8</v>
      </c>
      <c r="E27" s="1"/>
      <c r="F27" s="1">
        <f t="shared" ref="F27:H27" si="4">ROUND((F21+F22+F23+F24+F25)*0.05,2)</f>
        <v>234.8</v>
      </c>
      <c r="G27" s="1"/>
      <c r="H27" s="1">
        <f t="shared" si="4"/>
        <v>250.45</v>
      </c>
    </row>
    <row r="28" spans="1:8" ht="55.5" customHeight="1" x14ac:dyDescent="0.25">
      <c r="A28" s="7">
        <v>8</v>
      </c>
      <c r="B28" s="8" t="s">
        <v>22</v>
      </c>
      <c r="C28" s="7"/>
      <c r="D28" s="7">
        <f>ROUND((D21+D22+D23+D24+D25)*0.01,2)</f>
        <v>46.96</v>
      </c>
      <c r="E28" s="7"/>
      <c r="F28" s="7">
        <f>ROUND((F21+F22+F23+F24+F25)*0.01,2)</f>
        <v>46.96</v>
      </c>
      <c r="G28" s="7"/>
      <c r="H28" s="7">
        <f t="shared" ref="H28" si="5">ROUND((H21+H22+H23+H24+H25)*0.01,2)</f>
        <v>50.09</v>
      </c>
    </row>
    <row r="29" spans="1:8" ht="21.75" customHeight="1" x14ac:dyDescent="0.25">
      <c r="A29" s="7">
        <v>9</v>
      </c>
      <c r="B29" s="8" t="s">
        <v>3</v>
      </c>
      <c r="C29" s="1"/>
      <c r="D29" s="11">
        <f>ROUND((D21+D22+D23+D24+D25+D26+D27+D28)*0.302,2)</f>
        <v>2070.56</v>
      </c>
      <c r="E29" s="11"/>
      <c r="F29" s="11">
        <f t="shared" ref="F29:H29" si="6">ROUND((F21+F22+F23+F24+F25+F26+F27+F28)*0.302,2)</f>
        <v>2070.56</v>
      </c>
      <c r="G29" s="11"/>
      <c r="H29" s="11">
        <f t="shared" si="6"/>
        <v>2170.7800000000002</v>
      </c>
    </row>
    <row r="30" spans="1:8" ht="41.25" customHeight="1" x14ac:dyDescent="0.25">
      <c r="A30" s="7">
        <v>10</v>
      </c>
      <c r="B30" s="8" t="s">
        <v>7</v>
      </c>
      <c r="C30" s="1"/>
      <c r="D30" s="11"/>
      <c r="E30" s="11"/>
      <c r="F30" s="11"/>
      <c r="G30" s="11"/>
      <c r="H30" s="11"/>
    </row>
    <row r="31" spans="1:8" ht="15.75" x14ac:dyDescent="0.25">
      <c r="A31" s="10"/>
      <c r="B31" s="12" t="s">
        <v>4</v>
      </c>
      <c r="C31" s="1"/>
      <c r="D31" s="1">
        <f>D21+D22+D23+D24+D25+D26+D27+D28+D30</f>
        <v>6856.15</v>
      </c>
      <c r="E31" s="1"/>
      <c r="F31" s="1">
        <f t="shared" ref="F31:H31" si="7">F21+F22+F23+F24+F25+F26+F27+F28+F30</f>
        <v>6856.15</v>
      </c>
      <c r="G31" s="1"/>
      <c r="H31" s="1">
        <f t="shared" si="7"/>
        <v>7187.9999999999991</v>
      </c>
    </row>
    <row r="32" spans="1:8" ht="15.75" x14ac:dyDescent="0.25">
      <c r="A32" s="10"/>
      <c r="B32" s="12" t="s">
        <v>5</v>
      </c>
      <c r="C32" s="1"/>
      <c r="D32" s="1">
        <f t="shared" ref="D32" si="8">ROUND(D31*12,2)</f>
        <v>82273.8</v>
      </c>
      <c r="E32" s="1"/>
      <c r="F32" s="1">
        <f t="shared" ref="F32:H32" si="9">ROUND(F31*12,2)</f>
        <v>82273.8</v>
      </c>
      <c r="G32" s="1"/>
      <c r="H32" s="1">
        <f t="shared" si="9"/>
        <v>86256</v>
      </c>
    </row>
    <row r="33" spans="1:10" ht="30.75" customHeight="1" x14ac:dyDescent="0.25">
      <c r="A33" s="10"/>
      <c r="B33" s="24" t="s">
        <v>20</v>
      </c>
      <c r="C33" s="25"/>
      <c r="D33" s="1"/>
      <c r="E33" s="1"/>
      <c r="F33" s="1"/>
      <c r="G33" s="1"/>
      <c r="H33" s="1"/>
    </row>
    <row r="34" spans="1:10" ht="63.75" customHeight="1" x14ac:dyDescent="0.25">
      <c r="A34" s="7">
        <v>1</v>
      </c>
      <c r="B34" s="8" t="s">
        <v>12</v>
      </c>
      <c r="C34" s="7">
        <v>1.5</v>
      </c>
      <c r="D34" s="1">
        <f>ROUND(8372*1.04*C34,2)</f>
        <v>13060.32</v>
      </c>
      <c r="E34" s="7">
        <v>1.25</v>
      </c>
      <c r="F34" s="1">
        <f>ROUND(8372*1.04*E34,2)</f>
        <v>10883.6</v>
      </c>
      <c r="G34" s="7">
        <v>1.25</v>
      </c>
      <c r="H34" s="1">
        <f>ROUND(8372*1.04*G34,2)</f>
        <v>10883.6</v>
      </c>
    </row>
    <row r="35" spans="1:10" ht="36" customHeight="1" x14ac:dyDescent="0.25">
      <c r="A35" s="7">
        <v>2</v>
      </c>
      <c r="B35" s="8" t="s">
        <v>13</v>
      </c>
      <c r="C35" s="7"/>
      <c r="D35" s="1"/>
      <c r="E35" s="7"/>
      <c r="F35" s="1"/>
      <c r="G35" s="7"/>
      <c r="H35" s="1">
        <f>ROUND(H34*0.1,2)</f>
        <v>1088.3599999999999</v>
      </c>
    </row>
    <row r="36" spans="1:10" ht="40.5" customHeight="1" x14ac:dyDescent="0.25">
      <c r="A36" s="7">
        <v>3</v>
      </c>
      <c r="B36" s="8" t="s">
        <v>26</v>
      </c>
      <c r="C36" s="10"/>
      <c r="D36" s="1">
        <f>ROUND(D34*0.3,0)</f>
        <v>3918</v>
      </c>
      <c r="E36" s="10"/>
      <c r="F36" s="1">
        <f>ROUND(F34*0.3,0)</f>
        <v>3265</v>
      </c>
      <c r="G36" s="10"/>
      <c r="H36" s="1">
        <f>ROUND(H34*0.3,0)</f>
        <v>3265</v>
      </c>
    </row>
    <row r="37" spans="1:10" ht="30.75" customHeight="1" x14ac:dyDescent="0.25">
      <c r="A37" s="7">
        <v>4</v>
      </c>
      <c r="B37" s="8" t="s">
        <v>23</v>
      </c>
      <c r="C37" s="1"/>
      <c r="D37" s="1">
        <f>ROUND((D34+D35+D36)*0.01,2)</f>
        <v>169.78</v>
      </c>
      <c r="E37" s="1"/>
      <c r="F37" s="1">
        <f>ROUND((F34+F35+F36)*0.01,2)</f>
        <v>141.49</v>
      </c>
      <c r="G37" s="1"/>
      <c r="H37" s="1">
        <f>ROUND((H34+H35+H36)*0.01,2)</f>
        <v>152.37</v>
      </c>
    </row>
    <row r="38" spans="1:10" ht="18" customHeight="1" x14ac:dyDescent="0.25">
      <c r="A38" s="7">
        <v>5</v>
      </c>
      <c r="B38" s="10" t="s">
        <v>24</v>
      </c>
      <c r="C38" s="1"/>
      <c r="D38" s="1">
        <f>ROUND((13890*C34-D34-D35-D36),2)</f>
        <v>3856.68</v>
      </c>
      <c r="E38" s="1"/>
      <c r="F38" s="1">
        <f>ROUND((13890*E34-F34-F35-F36),2)</f>
        <v>3213.9</v>
      </c>
      <c r="G38" s="1"/>
      <c r="H38" s="1">
        <f>ROUND((13890*G34-H34-H35-H36),2)</f>
        <v>2125.54</v>
      </c>
    </row>
    <row r="39" spans="1:10" ht="20.25" customHeight="1" x14ac:dyDescent="0.25">
      <c r="A39" s="7">
        <v>6</v>
      </c>
      <c r="B39" s="10" t="s">
        <v>9</v>
      </c>
      <c r="C39" s="1"/>
      <c r="D39" s="1">
        <f>ROUND(13890/29.3*28*C34/365*28,2)</f>
        <v>1527.39</v>
      </c>
      <c r="E39" s="1"/>
      <c r="F39" s="1">
        <f>ROUND(13890/29.3*28*E34/365*28,2)</f>
        <v>1272.82</v>
      </c>
      <c r="G39" s="1"/>
      <c r="H39" s="1">
        <f>ROUND(13890/29.3*28*G34/365*28,2)</f>
        <v>1272.82</v>
      </c>
    </row>
    <row r="40" spans="1:10" ht="17.25" customHeight="1" x14ac:dyDescent="0.25">
      <c r="A40" s="7">
        <v>7</v>
      </c>
      <c r="B40" s="8" t="s">
        <v>3</v>
      </c>
      <c r="C40" s="1"/>
      <c r="D40" s="1">
        <f>ROUND((D34+D35+D36+D37+D38+D39)*0.302,0)</f>
        <v>6805</v>
      </c>
      <c r="E40" s="1"/>
      <c r="F40" s="1">
        <f t="shared" ref="F40:H40" si="10">ROUND((F34+F35+F36+F37+F38+F39)*0.302,0)</f>
        <v>5671</v>
      </c>
      <c r="G40" s="1"/>
      <c r="H40" s="1">
        <f t="shared" si="10"/>
        <v>5674</v>
      </c>
    </row>
    <row r="41" spans="1:10" ht="31.5" x14ac:dyDescent="0.25">
      <c r="A41" s="7">
        <v>8</v>
      </c>
      <c r="B41" s="8" t="s">
        <v>8</v>
      </c>
      <c r="C41" s="1"/>
      <c r="D41" s="1"/>
      <c r="E41" s="1"/>
      <c r="F41" s="1"/>
      <c r="G41" s="1"/>
      <c r="H41" s="1"/>
    </row>
    <row r="42" spans="1:10" ht="15.75" x14ac:dyDescent="0.25">
      <c r="A42" s="10"/>
      <c r="B42" s="12" t="s">
        <v>4</v>
      </c>
      <c r="C42" s="1"/>
      <c r="D42" s="1">
        <f>D34+D35+D36+D37+D40+D38+D39</f>
        <v>29337.17</v>
      </c>
      <c r="E42" s="1"/>
      <c r="F42" s="1">
        <f>F34+F35+F36+F37+F40+F38+F39</f>
        <v>24447.81</v>
      </c>
      <c r="G42" s="1"/>
      <c r="H42" s="1">
        <f>H34+H35+H36+H37+H40+H38+H39</f>
        <v>24461.690000000002</v>
      </c>
    </row>
    <row r="43" spans="1:10" ht="15.75" x14ac:dyDescent="0.25">
      <c r="A43" s="10"/>
      <c r="B43" s="12" t="s">
        <v>5</v>
      </c>
      <c r="C43" s="10"/>
      <c r="D43" s="1">
        <f>ROUND(D42*12,0)</f>
        <v>352046</v>
      </c>
      <c r="E43" s="10"/>
      <c r="F43" s="1">
        <f>ROUND(F42*12,0)</f>
        <v>293374</v>
      </c>
      <c r="G43" s="10"/>
      <c r="H43" s="1">
        <f>ROUND(H42*12,0)</f>
        <v>293540</v>
      </c>
    </row>
    <row r="44" spans="1:10" ht="48.75" customHeight="1" x14ac:dyDescent="0.25">
      <c r="A44" s="10"/>
      <c r="B44" s="14" t="s">
        <v>27</v>
      </c>
      <c r="C44" s="13"/>
      <c r="D44" s="1">
        <f>D19+D32+D43</f>
        <v>1488565.76</v>
      </c>
      <c r="E44" s="13"/>
      <c r="F44" s="1">
        <f>F19+F32+F43</f>
        <v>1429893.76</v>
      </c>
      <c r="G44" s="13"/>
      <c r="H44" s="1">
        <f>H19+H32+H43</f>
        <v>1706107.04</v>
      </c>
    </row>
    <row r="45" spans="1:10" ht="48.75" customHeight="1" x14ac:dyDescent="0.25">
      <c r="A45" s="10"/>
      <c r="B45" s="14" t="s">
        <v>36</v>
      </c>
      <c r="C45" s="15">
        <v>15</v>
      </c>
      <c r="D45" s="9">
        <f>ROUND(D44/C45,0)</f>
        <v>99238</v>
      </c>
      <c r="E45" s="15">
        <v>20</v>
      </c>
      <c r="F45" s="9">
        <f>ROUND(F44/E45,0)</f>
        <v>71495</v>
      </c>
      <c r="G45" s="15">
        <v>10</v>
      </c>
      <c r="H45" s="9">
        <f>ROUND(H44/G45,0)</f>
        <v>170611</v>
      </c>
      <c r="I45" s="16"/>
      <c r="J45" s="17"/>
    </row>
    <row r="46" spans="1:10" ht="95.25" customHeight="1" x14ac:dyDescent="0.25">
      <c r="A46" s="10"/>
      <c r="B46" s="14" t="s">
        <v>39</v>
      </c>
      <c r="C46" s="10"/>
      <c r="D46" s="9"/>
      <c r="E46" s="10"/>
      <c r="F46" s="9"/>
      <c r="G46" s="10"/>
      <c r="H46" s="9">
        <f>F45</f>
        <v>71495</v>
      </c>
    </row>
    <row r="47" spans="1:10" ht="119.25" hidden="1" customHeight="1" x14ac:dyDescent="0.25">
      <c r="A47" s="10"/>
      <c r="B47" s="18" t="s">
        <v>29</v>
      </c>
      <c r="C47" s="7"/>
      <c r="D47" s="7" t="e">
        <f>ROUND(D45/F46,3)</f>
        <v>#DIV/0!</v>
      </c>
      <c r="E47" s="7"/>
      <c r="F47" s="7"/>
      <c r="G47" s="7"/>
      <c r="H47" s="7" t="e">
        <f>ROUND(H45/F46,3)</f>
        <v>#DIV/0!</v>
      </c>
    </row>
    <row r="48" spans="1:10" ht="174.75" customHeight="1" x14ac:dyDescent="0.25">
      <c r="A48" s="10"/>
      <c r="B48" s="14" t="s">
        <v>42</v>
      </c>
      <c r="C48" s="10"/>
      <c r="D48" s="9"/>
      <c r="E48" s="9"/>
      <c r="F48" s="9"/>
      <c r="G48" s="9"/>
      <c r="H48" s="9">
        <v>2767</v>
      </c>
    </row>
    <row r="49" spans="1:8" ht="50.25" customHeight="1" x14ac:dyDescent="0.25">
      <c r="A49" s="10"/>
      <c r="B49" s="14" t="s">
        <v>40</v>
      </c>
      <c r="C49" s="10"/>
      <c r="D49" s="9"/>
      <c r="E49" s="9"/>
      <c r="F49" s="9"/>
      <c r="G49" s="9"/>
      <c r="H49" s="9">
        <f>H46+H48</f>
        <v>74262</v>
      </c>
    </row>
  </sheetData>
  <mergeCells count="11">
    <mergeCell ref="B33:C33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20:C20"/>
  </mergeCells>
  <printOptions horizontalCentered="1"/>
  <pageMargins left="0" right="0" top="0.55118110236220474" bottom="0.35433070866141736" header="0" footer="0"/>
  <pageSetup paperSize="9" scale="55" orientation="portrait" r:id="rId1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zoomScale="69" zoomScaleNormal="81" zoomScaleSheetLayoutView="69" workbookViewId="0">
      <pane xSplit="2" ySplit="4" topLeftCell="C23" activePane="bottomRight" state="frozen"/>
      <selection pane="topRight" activeCell="D1" sqref="D1"/>
      <selection pane="bottomLeft" activeCell="A5" sqref="A5"/>
      <selection pane="bottomRight" activeCell="C3" sqref="C3:D3"/>
    </sheetView>
  </sheetViews>
  <sheetFormatPr defaultRowHeight="15" x14ac:dyDescent="0.25"/>
  <cols>
    <col min="1" max="1" width="6.28515625" style="2" customWidth="1"/>
    <col min="2" max="2" width="49.5703125" style="2" customWidth="1"/>
    <col min="3" max="3" width="13.42578125" style="2" customWidth="1"/>
    <col min="4" max="4" width="24.85546875" style="2" customWidth="1"/>
    <col min="5" max="16384" width="9.140625" style="2"/>
  </cols>
  <sheetData>
    <row r="1" spans="1:7" ht="78.75" customHeight="1" x14ac:dyDescent="0.3">
      <c r="A1" s="28" t="s">
        <v>43</v>
      </c>
      <c r="B1" s="28"/>
      <c r="C1" s="28"/>
      <c r="D1" s="28"/>
      <c r="E1" s="3"/>
      <c r="F1" s="3"/>
      <c r="G1" s="3"/>
    </row>
    <row r="2" spans="1:7" s="19" customFormat="1" ht="67.5" customHeight="1" x14ac:dyDescent="0.25">
      <c r="A2" s="29" t="s">
        <v>1</v>
      </c>
      <c r="B2" s="29" t="s">
        <v>0</v>
      </c>
      <c r="C2" s="32" t="s">
        <v>45</v>
      </c>
      <c r="D2" s="33"/>
    </row>
    <row r="3" spans="1:7" s="20" customFormat="1" ht="51" customHeight="1" x14ac:dyDescent="0.25">
      <c r="A3" s="30"/>
      <c r="B3" s="30"/>
      <c r="C3" s="27" t="s">
        <v>37</v>
      </c>
      <c r="D3" s="27"/>
    </row>
    <row r="4" spans="1:7" s="19" customFormat="1" ht="48.75" customHeight="1" x14ac:dyDescent="0.25">
      <c r="A4" s="31"/>
      <c r="B4" s="31"/>
      <c r="C4" s="5" t="s">
        <v>2</v>
      </c>
      <c r="D4" s="6" t="s">
        <v>38</v>
      </c>
    </row>
    <row r="5" spans="1:7" s="19" customFormat="1" ht="31.5" customHeight="1" x14ac:dyDescent="0.25">
      <c r="A5" s="5"/>
      <c r="B5" s="24" t="s">
        <v>11</v>
      </c>
      <c r="C5" s="34"/>
      <c r="D5" s="6"/>
    </row>
    <row r="6" spans="1:7" s="19" customFormat="1" ht="63" x14ac:dyDescent="0.25">
      <c r="A6" s="7">
        <v>1</v>
      </c>
      <c r="B6" s="8" t="s">
        <v>16</v>
      </c>
      <c r="C6" s="1">
        <v>1.25</v>
      </c>
      <c r="D6" s="1">
        <f>ROUND(13242*C6*1.04,2)</f>
        <v>17214.599999999999</v>
      </c>
    </row>
    <row r="7" spans="1:7" s="19" customFormat="1" ht="44.25" customHeight="1" x14ac:dyDescent="0.25">
      <c r="A7" s="7">
        <v>2</v>
      </c>
      <c r="B7" s="8" t="s">
        <v>17</v>
      </c>
      <c r="C7" s="1"/>
      <c r="D7" s="1">
        <f>ROUND(D6*0.25,2)</f>
        <v>4303.6499999999996</v>
      </c>
    </row>
    <row r="8" spans="1:7" s="19" customFormat="1" ht="50.25" customHeight="1" x14ac:dyDescent="0.25">
      <c r="A8" s="7">
        <v>3</v>
      </c>
      <c r="B8" s="8" t="s">
        <v>25</v>
      </c>
      <c r="C8" s="9"/>
      <c r="D8" s="1">
        <f>ROUND(D6*0.2,2)</f>
        <v>3442.92</v>
      </c>
    </row>
    <row r="9" spans="1:7" s="19" customFormat="1" ht="28.5" customHeight="1" x14ac:dyDescent="0.25">
      <c r="A9" s="7">
        <v>4</v>
      </c>
      <c r="B9" s="8" t="s">
        <v>31</v>
      </c>
      <c r="C9" s="9"/>
      <c r="D9" s="1">
        <f>ROUND(D6*0.2,2)</f>
        <v>3442.92</v>
      </c>
    </row>
    <row r="10" spans="1:7" s="19" customFormat="1" ht="66" customHeight="1" x14ac:dyDescent="0.25">
      <c r="A10" s="7">
        <v>5</v>
      </c>
      <c r="B10" s="8" t="s">
        <v>19</v>
      </c>
      <c r="C10" s="1"/>
      <c r="D10" s="1">
        <f>ROUND((D6)*0.05,2)</f>
        <v>860.73</v>
      </c>
    </row>
    <row r="11" spans="1:7" s="19" customFormat="1" ht="51" customHeight="1" x14ac:dyDescent="0.25">
      <c r="A11" s="7">
        <v>6</v>
      </c>
      <c r="B11" s="8" t="s">
        <v>14</v>
      </c>
      <c r="C11" s="1"/>
      <c r="D11" s="1">
        <f>ROUND(D6*0.6,2)</f>
        <v>10328.76</v>
      </c>
    </row>
    <row r="12" spans="1:7" s="19" customFormat="1" ht="64.5" customHeight="1" x14ac:dyDescent="0.25">
      <c r="A12" s="7">
        <v>7</v>
      </c>
      <c r="B12" s="8" t="s">
        <v>21</v>
      </c>
      <c r="C12" s="1"/>
      <c r="D12" s="1">
        <f>ROUND((D6+D7+D8+D9+D10)*0.05,2)</f>
        <v>1463.24</v>
      </c>
    </row>
    <row r="13" spans="1:7" s="19" customFormat="1" ht="69" customHeight="1" x14ac:dyDescent="0.25">
      <c r="A13" s="7">
        <v>8</v>
      </c>
      <c r="B13" s="8" t="s">
        <v>22</v>
      </c>
      <c r="C13" s="7"/>
      <c r="D13" s="7">
        <f>ROUND((D6+D7+D8+D9+D10)*0.01,2)</f>
        <v>292.64999999999998</v>
      </c>
    </row>
    <row r="14" spans="1:7" s="19" customFormat="1" ht="24.75" customHeight="1" x14ac:dyDescent="0.25">
      <c r="A14" s="7">
        <v>9</v>
      </c>
      <c r="B14" s="10" t="s">
        <v>9</v>
      </c>
      <c r="C14" s="1"/>
      <c r="D14" s="1">
        <f>ROUND((D6+D7++D9+D8+D10+D11+D12)/29.3*42/12,2)</f>
        <v>4904.3999999999996</v>
      </c>
    </row>
    <row r="15" spans="1:7" s="19" customFormat="1" ht="39" customHeight="1" x14ac:dyDescent="0.25">
      <c r="A15" s="7">
        <v>10</v>
      </c>
      <c r="B15" s="8" t="s">
        <v>3</v>
      </c>
      <c r="C15" s="11"/>
      <c r="D15" s="11">
        <f>ROUND((D6+D7+D9+D8+D10+D11+D12+D13+D14)*0.302,2)</f>
        <v>13968.67</v>
      </c>
    </row>
    <row r="16" spans="1:7" s="19" customFormat="1" ht="36" customHeight="1" x14ac:dyDescent="0.25">
      <c r="A16" s="7">
        <v>11</v>
      </c>
      <c r="B16" s="8" t="s">
        <v>6</v>
      </c>
      <c r="C16" s="1"/>
      <c r="D16" s="1"/>
    </row>
    <row r="17" spans="1:4" s="19" customFormat="1" ht="23.25" customHeight="1" x14ac:dyDescent="0.25">
      <c r="A17" s="10"/>
      <c r="B17" s="12" t="s">
        <v>4</v>
      </c>
      <c r="C17" s="1"/>
      <c r="D17" s="1">
        <f>D6+D7+D9+D8+D10+D11+D12+D13+D15+D14</f>
        <v>60222.539999999994</v>
      </c>
    </row>
    <row r="18" spans="1:4" s="19" customFormat="1" ht="24.75" customHeight="1" x14ac:dyDescent="0.25">
      <c r="A18" s="10"/>
      <c r="B18" s="12" t="s">
        <v>5</v>
      </c>
      <c r="C18" s="1"/>
      <c r="D18" s="1">
        <f t="shared" ref="D18" si="0">ROUND(D17*12,2)</f>
        <v>722670.48</v>
      </c>
    </row>
    <row r="19" spans="1:4" s="19" customFormat="1" ht="45" customHeight="1" x14ac:dyDescent="0.25">
      <c r="A19" s="10"/>
      <c r="B19" s="24" t="s">
        <v>15</v>
      </c>
      <c r="C19" s="34"/>
      <c r="D19" s="13"/>
    </row>
    <row r="20" spans="1:4" s="19" customFormat="1" ht="63" x14ac:dyDescent="0.25">
      <c r="A20" s="7">
        <v>1</v>
      </c>
      <c r="B20" s="8" t="s">
        <v>16</v>
      </c>
      <c r="C20" s="7">
        <v>0.25</v>
      </c>
      <c r="D20" s="1">
        <f>ROUND(12041*1.04*C20,2)</f>
        <v>3130.66</v>
      </c>
    </row>
    <row r="21" spans="1:4" s="19" customFormat="1" ht="52.5" customHeight="1" x14ac:dyDescent="0.25">
      <c r="A21" s="7">
        <v>2</v>
      </c>
      <c r="B21" s="8" t="s">
        <v>17</v>
      </c>
      <c r="C21" s="10"/>
      <c r="D21" s="1">
        <f>ROUND(D20*0.25,2)</f>
        <v>782.67</v>
      </c>
    </row>
    <row r="22" spans="1:4" s="19" customFormat="1" ht="31.5" x14ac:dyDescent="0.25">
      <c r="A22" s="7">
        <v>3</v>
      </c>
      <c r="B22" s="8" t="s">
        <v>25</v>
      </c>
      <c r="C22" s="10"/>
      <c r="D22" s="1">
        <f>ROUND(D20*0.2,2)</f>
        <v>626.13</v>
      </c>
    </row>
    <row r="23" spans="1:4" s="19" customFormat="1" ht="30.75" customHeight="1" x14ac:dyDescent="0.25">
      <c r="A23" s="7">
        <v>4</v>
      </c>
      <c r="B23" s="8" t="s">
        <v>31</v>
      </c>
      <c r="C23" s="10"/>
      <c r="D23" s="1">
        <f>ROUND(D20*0.2,2)</f>
        <v>626.13</v>
      </c>
    </row>
    <row r="24" spans="1:4" s="19" customFormat="1" ht="47.25" x14ac:dyDescent="0.25">
      <c r="A24" s="7">
        <v>5</v>
      </c>
      <c r="B24" s="8" t="s">
        <v>19</v>
      </c>
      <c r="C24" s="1"/>
      <c r="D24" s="1">
        <f>ROUND((D20)*0.05,2)</f>
        <v>156.53</v>
      </c>
    </row>
    <row r="25" spans="1:4" s="19" customFormat="1" ht="47.25" x14ac:dyDescent="0.25">
      <c r="A25" s="7">
        <v>6</v>
      </c>
      <c r="B25" s="8" t="s">
        <v>14</v>
      </c>
      <c r="C25" s="1"/>
      <c r="D25" s="1">
        <f>ROUND(D20*0.6,2)</f>
        <v>1878.4</v>
      </c>
    </row>
    <row r="26" spans="1:4" s="19" customFormat="1" ht="47.25" x14ac:dyDescent="0.25">
      <c r="A26" s="7">
        <v>7</v>
      </c>
      <c r="B26" s="8" t="s">
        <v>21</v>
      </c>
      <c r="C26" s="1"/>
      <c r="D26" s="1">
        <f>ROUND((D20+D21+D23+D22+D24)*0.05,2)</f>
        <v>266.11</v>
      </c>
    </row>
    <row r="27" spans="1:4" s="19" customFormat="1" ht="68.25" customHeight="1" x14ac:dyDescent="0.25">
      <c r="A27" s="7">
        <v>8</v>
      </c>
      <c r="B27" s="8" t="s">
        <v>22</v>
      </c>
      <c r="C27" s="7"/>
      <c r="D27" s="7">
        <f>ROUND((D20+D21+D23+D22+D24)*0.01,2)</f>
        <v>53.22</v>
      </c>
    </row>
    <row r="28" spans="1:4" s="19" customFormat="1" ht="42" customHeight="1" x14ac:dyDescent="0.25">
      <c r="A28" s="7">
        <v>9</v>
      </c>
      <c r="B28" s="8" t="s">
        <v>3</v>
      </c>
      <c r="C28" s="1"/>
      <c r="D28" s="11">
        <f>ROUND((D20+D21+D23+D22+D24+D25+D26+D27)*0.302,2)</f>
        <v>2270.9899999999998</v>
      </c>
    </row>
    <row r="29" spans="1:4" s="19" customFormat="1" ht="48" customHeight="1" x14ac:dyDescent="0.25">
      <c r="A29" s="7">
        <v>10</v>
      </c>
      <c r="B29" s="8" t="s">
        <v>7</v>
      </c>
      <c r="C29" s="1"/>
      <c r="D29" s="11"/>
    </row>
    <row r="30" spans="1:4" s="19" customFormat="1" ht="15.75" x14ac:dyDescent="0.25">
      <c r="A30" s="10"/>
      <c r="B30" s="12" t="s">
        <v>4</v>
      </c>
      <c r="C30" s="1"/>
      <c r="D30" s="1">
        <f>D20+D21+D23+D22+D24+D25+D26+D27+D29</f>
        <v>7519.85</v>
      </c>
    </row>
    <row r="31" spans="1:4" s="19" customFormat="1" ht="15.75" x14ac:dyDescent="0.25">
      <c r="A31" s="10"/>
      <c r="B31" s="12" t="s">
        <v>5</v>
      </c>
      <c r="C31" s="1"/>
      <c r="D31" s="1">
        <f t="shared" ref="D31" si="1">ROUND(D30*12,2)</f>
        <v>90238.2</v>
      </c>
    </row>
    <row r="32" spans="1:4" s="19" customFormat="1" ht="30.75" customHeight="1" x14ac:dyDescent="0.25">
      <c r="A32" s="10"/>
      <c r="B32" s="24" t="s">
        <v>20</v>
      </c>
      <c r="C32" s="34"/>
      <c r="D32" s="1"/>
    </row>
    <row r="33" spans="1:6" s="19" customFormat="1" ht="63" x14ac:dyDescent="0.25">
      <c r="A33" s="7">
        <v>1</v>
      </c>
      <c r="B33" s="8" t="s">
        <v>12</v>
      </c>
      <c r="C33" s="7">
        <v>1.125</v>
      </c>
      <c r="D33" s="1">
        <f>ROUND(8372*1.04*C33,2)</f>
        <v>9795.24</v>
      </c>
    </row>
    <row r="34" spans="1:6" s="19" customFormat="1" ht="42.75" customHeight="1" x14ac:dyDescent="0.25">
      <c r="A34" s="7">
        <v>2</v>
      </c>
      <c r="B34" s="8" t="s">
        <v>26</v>
      </c>
      <c r="C34" s="10"/>
      <c r="D34" s="1">
        <f>ROUND(D33*0.3,0)</f>
        <v>2939</v>
      </c>
    </row>
    <row r="35" spans="1:6" s="19" customFormat="1" ht="41.25" customHeight="1" x14ac:dyDescent="0.25">
      <c r="A35" s="7">
        <v>3</v>
      </c>
      <c r="B35" s="8" t="s">
        <v>23</v>
      </c>
      <c r="C35" s="1"/>
      <c r="D35" s="1">
        <f>ROUND((D33+D34)*0.01,2)</f>
        <v>127.34</v>
      </c>
    </row>
    <row r="36" spans="1:6" s="19" customFormat="1" ht="18" customHeight="1" x14ac:dyDescent="0.25">
      <c r="A36" s="7">
        <v>4</v>
      </c>
      <c r="B36" s="10" t="s">
        <v>24</v>
      </c>
      <c r="C36" s="1"/>
      <c r="D36" s="1">
        <f>ROUND((13890*C33-D33-D34),2)</f>
        <v>2892.01</v>
      </c>
    </row>
    <row r="37" spans="1:6" s="19" customFormat="1" ht="22.5" customHeight="1" x14ac:dyDescent="0.25">
      <c r="A37" s="7">
        <v>5</v>
      </c>
      <c r="B37" s="10" t="s">
        <v>9</v>
      </c>
      <c r="C37" s="1"/>
      <c r="D37" s="1">
        <f>ROUND(13890/29.3*28*C33/365*28,2)</f>
        <v>1145.54</v>
      </c>
    </row>
    <row r="38" spans="1:6" s="19" customFormat="1" ht="15.75" x14ac:dyDescent="0.25">
      <c r="A38" s="7">
        <v>6</v>
      </c>
      <c r="B38" s="8" t="s">
        <v>3</v>
      </c>
      <c r="C38" s="1"/>
      <c r="D38" s="1">
        <f>ROUND((D33+D34+D35+D36+D37)*0.302,0)</f>
        <v>5104</v>
      </c>
    </row>
    <row r="39" spans="1:6" s="19" customFormat="1" ht="31.5" x14ac:dyDescent="0.25">
      <c r="A39" s="7">
        <v>7</v>
      </c>
      <c r="B39" s="8" t="s">
        <v>8</v>
      </c>
      <c r="C39" s="1"/>
      <c r="D39" s="1"/>
    </row>
    <row r="40" spans="1:6" s="19" customFormat="1" ht="15.75" x14ac:dyDescent="0.25">
      <c r="A40" s="10"/>
      <c r="B40" s="12" t="s">
        <v>4</v>
      </c>
      <c r="C40" s="1"/>
      <c r="D40" s="1">
        <f>D33+D34+D35+D38+D36+D37</f>
        <v>22003.130000000005</v>
      </c>
    </row>
    <row r="41" spans="1:6" s="19" customFormat="1" ht="15.75" x14ac:dyDescent="0.25">
      <c r="A41" s="10"/>
      <c r="B41" s="12" t="s">
        <v>5</v>
      </c>
      <c r="C41" s="10"/>
      <c r="D41" s="1">
        <f>ROUND(D40*12,0)</f>
        <v>264038</v>
      </c>
    </row>
    <row r="42" spans="1:6" s="19" customFormat="1" ht="49.5" customHeight="1" x14ac:dyDescent="0.25">
      <c r="A42" s="10"/>
      <c r="B42" s="14" t="s">
        <v>27</v>
      </c>
      <c r="C42" s="13"/>
      <c r="D42" s="1">
        <f>D18+D31+D41</f>
        <v>1076946.68</v>
      </c>
    </row>
    <row r="43" spans="1:6" s="19" customFormat="1" ht="54.75" customHeight="1" x14ac:dyDescent="0.25">
      <c r="A43" s="10"/>
      <c r="B43" s="14" t="s">
        <v>10</v>
      </c>
      <c r="C43" s="15">
        <v>20</v>
      </c>
      <c r="D43" s="9">
        <f>ROUND(D42/C43,0)</f>
        <v>53847</v>
      </c>
      <c r="E43" s="21"/>
      <c r="F43" s="22"/>
    </row>
    <row r="44" spans="1:6" s="19" customFormat="1" ht="87.75" customHeight="1" x14ac:dyDescent="0.25">
      <c r="A44" s="10"/>
      <c r="B44" s="14" t="s">
        <v>28</v>
      </c>
      <c r="C44" s="10"/>
      <c r="D44" s="9">
        <f>D43</f>
        <v>53847</v>
      </c>
    </row>
    <row r="45" spans="1:6" s="19" customFormat="1" ht="3" hidden="1" customHeight="1" x14ac:dyDescent="0.25">
      <c r="A45" s="10"/>
      <c r="B45" s="18" t="s">
        <v>29</v>
      </c>
      <c r="C45" s="7"/>
      <c r="D45" s="23">
        <f>ROUND(D44/D43,3)</f>
        <v>1</v>
      </c>
    </row>
    <row r="46" spans="1:6" s="19" customFormat="1" ht="182.25" customHeight="1" x14ac:dyDescent="0.25">
      <c r="A46" s="10"/>
      <c r="B46" s="14" t="s">
        <v>44</v>
      </c>
      <c r="C46" s="10"/>
      <c r="D46" s="9">
        <v>2394</v>
      </c>
    </row>
    <row r="47" spans="1:6" s="19" customFormat="1" ht="48" customHeight="1" x14ac:dyDescent="0.25">
      <c r="A47" s="10"/>
      <c r="B47" s="14" t="s">
        <v>30</v>
      </c>
      <c r="C47" s="10"/>
      <c r="D47" s="9">
        <f>D46+D44</f>
        <v>56241</v>
      </c>
    </row>
  </sheetData>
  <mergeCells count="8">
    <mergeCell ref="B5:C5"/>
    <mergeCell ref="B19:C19"/>
    <mergeCell ref="B32:C32"/>
    <mergeCell ref="A1:D1"/>
    <mergeCell ref="C2:D2"/>
    <mergeCell ref="C3:D3"/>
    <mergeCell ref="B2:B4"/>
    <mergeCell ref="A2:A4"/>
  </mergeCells>
  <printOptions horizontalCentered="1"/>
  <pageMargins left="0" right="0" top="0.55118110236220474" bottom="0.35433070866141736" header="0" footer="0"/>
  <pageSetup paperSize="9" scale="50" orientation="portrait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</vt:lpstr>
      <vt:lpstr>Село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2023-04-10T08:20:42Z</dcterms:modified>
</cp:coreProperties>
</file>